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267aa91f8c73205d/Desktop/Brait Website Updates Temp/"/>
    </mc:Choice>
  </mc:AlternateContent>
  <xr:revisionPtr revIDLastSave="1269" documentId="8_{CC81ED0F-4B98-4B4E-8FCD-69E642AC1ACB}" xr6:coauthVersionLast="47" xr6:coauthVersionMax="47" xr10:uidLastSave="{355C49BF-0CB9-498A-A665-D545B6E41A65}"/>
  <bookViews>
    <workbookView xWindow="25620" yWindow="2445" windowWidth="19515" windowHeight="14970" xr2:uid="{00000000-000D-0000-FFFF-FFFF00000000}"/>
  </bookViews>
  <sheets>
    <sheet name="NAV per share FY26" sheetId="24" r:id="rId1"/>
    <sheet name="NAV per share FY25" sheetId="22" r:id="rId2"/>
    <sheet name="NAV per share FY24" sheetId="21" r:id="rId3"/>
    <sheet name="NAV per share FY23" sheetId="19" r:id="rId4"/>
    <sheet name="NAV per share FY22" sheetId="18"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"10/16/2019 09:06:35"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4">'NAV per share FY22'!$B$2:$J$36</definedName>
    <definedName name="_xlnm.Print_Area" localSheetId="3">'NAV per share FY23'!$B$2:$I$38</definedName>
    <definedName name="_xlnm.Print_Area" localSheetId="2">'NAV per share FY24'!$B$2:$K$40</definedName>
    <definedName name="_xlnm.Print_Area" localSheetId="1">'NAV per share FY25'!$B$2:$F$41</definedName>
    <definedName name="_xlnm.Print_Area" localSheetId="0">'NAV per share FY26'!$B$2:$I$38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2" i="24" l="1"/>
  <c r="N25" i="24"/>
  <c r="N23" i="24"/>
  <c r="N22" i="24"/>
  <c r="N21" i="24"/>
  <c r="N17" i="24"/>
  <c r="N15" i="24"/>
  <c r="N14" i="24"/>
  <c r="N13" i="24"/>
  <c r="N12" i="24"/>
  <c r="N11" i="24"/>
  <c r="H26" i="24"/>
  <c r="H24" i="24"/>
  <c r="H10" i="24"/>
  <c r="H19" i="24" s="1"/>
  <c r="E26" i="24"/>
  <c r="E24" i="24"/>
  <c r="E10" i="24"/>
  <c r="E19" i="24" s="1"/>
  <c r="K26" i="24"/>
  <c r="K24" i="24"/>
  <c r="S38" i="22"/>
  <c r="V27" i="22"/>
  <c r="V22" i="22"/>
  <c r="V21" i="22"/>
  <c r="V20" i="22"/>
  <c r="V14" i="22"/>
  <c r="V13" i="22"/>
  <c r="V12" i="22"/>
  <c r="V11" i="22"/>
  <c r="S34" i="22"/>
  <c r="V34" i="22" s="1"/>
  <c r="T14" i="22"/>
  <c r="S28" i="22"/>
  <c r="S23" i="22"/>
  <c r="S10" i="22"/>
  <c r="S18" i="22" s="1"/>
  <c r="M34" i="22"/>
  <c r="P34" i="22" s="1"/>
  <c r="I30" i="22"/>
  <c r="E28" i="22"/>
  <c r="P28" i="22"/>
  <c r="M27" i="22"/>
  <c r="K26" i="22"/>
  <c r="K25" i="22"/>
  <c r="M24" i="22"/>
  <c r="M23" i="22"/>
  <c r="E23" i="22"/>
  <c r="P23" i="22"/>
  <c r="J18" i="22"/>
  <c r="J32" i="22" s="1"/>
  <c r="I18" i="22"/>
  <c r="M16" i="22"/>
  <c r="V16" i="22" s="1"/>
  <c r="M10" i="22"/>
  <c r="E10" i="22"/>
  <c r="E18" i="22" s="1"/>
  <c r="P10" i="22"/>
  <c r="P18" i="22" s="1"/>
  <c r="Q11" i="22" s="1"/>
  <c r="R38" i="21"/>
  <c r="R34" i="21"/>
  <c r="P26" i="21"/>
  <c r="P25" i="21"/>
  <c r="R27" i="21"/>
  <c r="R24" i="21"/>
  <c r="R28" i="21" s="1"/>
  <c r="R16" i="21"/>
  <c r="R10" i="21"/>
  <c r="R18" i="21" s="1"/>
  <c r="N30" i="21"/>
  <c r="O18" i="21"/>
  <c r="O32" i="21" s="1"/>
  <c r="N18" i="21"/>
  <c r="H26" i="21"/>
  <c r="H25" i="21"/>
  <c r="H24" i="21"/>
  <c r="H34" i="21"/>
  <c r="H27" i="21"/>
  <c r="H16" i="21"/>
  <c r="H12" i="21"/>
  <c r="H13" i="21"/>
  <c r="H14" i="21"/>
  <c r="H11" i="21"/>
  <c r="E28" i="21"/>
  <c r="J28" i="21"/>
  <c r="E10" i="21"/>
  <c r="E18" i="21" s="1"/>
  <c r="E28" i="24" l="1"/>
  <c r="H28" i="24"/>
  <c r="H30" i="24"/>
  <c r="I19" i="24"/>
  <c r="I17" i="24"/>
  <c r="I15" i="24"/>
  <c r="I11" i="24"/>
  <c r="I14" i="24"/>
  <c r="I12" i="24"/>
  <c r="F19" i="24"/>
  <c r="F17" i="24"/>
  <c r="F14" i="24"/>
  <c r="F11" i="24"/>
  <c r="E30" i="24"/>
  <c r="F15" i="24"/>
  <c r="F12" i="24"/>
  <c r="K28" i="24"/>
  <c r="N28" i="24" s="1"/>
  <c r="K10" i="24"/>
  <c r="K19" i="24" s="1"/>
  <c r="N19" i="24" s="1"/>
  <c r="S30" i="22"/>
  <c r="T18" i="22"/>
  <c r="T16" i="22"/>
  <c r="T13" i="22"/>
  <c r="T12" i="22"/>
  <c r="T11" i="22"/>
  <c r="S32" i="22"/>
  <c r="P30" i="22"/>
  <c r="E30" i="22"/>
  <c r="E32" i="22" s="1"/>
  <c r="M28" i="22"/>
  <c r="M30" i="22" s="1"/>
  <c r="V30" i="22" s="1"/>
  <c r="M18" i="22"/>
  <c r="Q14" i="22"/>
  <c r="Q13" i="22"/>
  <c r="Q12" i="22"/>
  <c r="Q18" i="22"/>
  <c r="Q16" i="22"/>
  <c r="F14" i="22"/>
  <c r="F13" i="22"/>
  <c r="F12" i="22"/>
  <c r="F11" i="22"/>
  <c r="F16" i="22"/>
  <c r="S16" i="21"/>
  <c r="S13" i="21"/>
  <c r="S11" i="21"/>
  <c r="S14" i="21"/>
  <c r="S12" i="21"/>
  <c r="L13" i="24" l="1"/>
  <c r="H34" i="24"/>
  <c r="I10" i="24"/>
  <c r="F10" i="24"/>
  <c r="E34" i="24"/>
  <c r="L19" i="24"/>
  <c r="L12" i="24"/>
  <c r="L15" i="24"/>
  <c r="L17" i="24"/>
  <c r="L11" i="24"/>
  <c r="K30" i="24"/>
  <c r="L14" i="24"/>
  <c r="N11" i="22"/>
  <c r="V18" i="22"/>
  <c r="T10" i="22"/>
  <c r="S36" i="22"/>
  <c r="P32" i="22"/>
  <c r="N16" i="22"/>
  <c r="M32" i="22"/>
  <c r="N14" i="22"/>
  <c r="Q10" i="22"/>
  <c r="N12" i="22"/>
  <c r="N13" i="22"/>
  <c r="E38" i="22"/>
  <c r="E36" i="22"/>
  <c r="F10" i="22"/>
  <c r="F18" i="22" s="1"/>
  <c r="S10" i="21"/>
  <c r="S18" i="21" s="1"/>
  <c r="N36" i="24" l="1"/>
  <c r="N30" i="24"/>
  <c r="K34" i="24"/>
  <c r="N34" i="24" s="1"/>
  <c r="L10" i="24"/>
  <c r="M38" i="22"/>
  <c r="V32" i="22"/>
  <c r="V38" i="22"/>
  <c r="N10" i="22"/>
  <c r="N18" i="22" s="1"/>
  <c r="M36" i="22"/>
  <c r="V36" i="22" s="1"/>
  <c r="P38" i="22"/>
  <c r="P36" i="22"/>
  <c r="J10" i="21"/>
  <c r="J18" i="21" s="1"/>
  <c r="R23" i="21"/>
  <c r="J23" i="21"/>
  <c r="E23" i="21"/>
  <c r="L19" i="19"/>
  <c r="L16" i="19"/>
  <c r="L14" i="19"/>
  <c r="L13" i="19"/>
  <c r="L12" i="19"/>
  <c r="L10" i="19" s="1"/>
  <c r="L11" i="19"/>
  <c r="L17" i="19"/>
  <c r="F19" i="19"/>
  <c r="F17" i="19"/>
  <c r="F16" i="19"/>
  <c r="F14" i="19"/>
  <c r="F13" i="19"/>
  <c r="F12" i="19"/>
  <c r="F11" i="19"/>
  <c r="F10" i="19"/>
  <c r="I19" i="19"/>
  <c r="I17" i="19"/>
  <c r="I16" i="19"/>
  <c r="I14" i="19"/>
  <c r="I13" i="19"/>
  <c r="I11" i="19"/>
  <c r="I12" i="19"/>
  <c r="K25" i="19"/>
  <c r="K26" i="19"/>
  <c r="K17" i="19"/>
  <c r="N22" i="19"/>
  <c r="K10" i="19"/>
  <c r="K13" i="19"/>
  <c r="H18" i="21" l="1"/>
  <c r="K16" i="21"/>
  <c r="K14" i="21"/>
  <c r="K13" i="21"/>
  <c r="R30" i="21"/>
  <c r="J30" i="21"/>
  <c r="E30" i="21"/>
  <c r="E32" i="21" s="1"/>
  <c r="F16" i="21"/>
  <c r="F11" i="21"/>
  <c r="F14" i="21"/>
  <c r="F12" i="21"/>
  <c r="F18" i="21"/>
  <c r="F13" i="21"/>
  <c r="N32" i="19"/>
  <c r="N17" i="19"/>
  <c r="N16" i="19"/>
  <c r="N14" i="19"/>
  <c r="N13" i="19"/>
  <c r="N12" i="19"/>
  <c r="N11" i="19"/>
  <c r="N25" i="19"/>
  <c r="N23" i="19"/>
  <c r="N21" i="19"/>
  <c r="H26" i="19"/>
  <c r="H24" i="19"/>
  <c r="H28" i="19" s="1"/>
  <c r="H30" i="19" s="1"/>
  <c r="H14" i="19"/>
  <c r="H13" i="19"/>
  <c r="H12" i="19"/>
  <c r="H11" i="19"/>
  <c r="E26" i="19"/>
  <c r="E24" i="19"/>
  <c r="E28" i="19" s="1"/>
  <c r="E30" i="19" s="1"/>
  <c r="E10" i="19"/>
  <c r="E19" i="19" s="1"/>
  <c r="J32" i="21" l="1"/>
  <c r="H30" i="21"/>
  <c r="R32" i="21"/>
  <c r="K11" i="21"/>
  <c r="K12" i="21"/>
  <c r="E38" i="21"/>
  <c r="E36" i="21"/>
  <c r="F10" i="21"/>
  <c r="J36" i="21"/>
  <c r="H36" i="21" s="1"/>
  <c r="H36" i="19"/>
  <c r="H34" i="19"/>
  <c r="H10" i="19"/>
  <c r="H19" i="19" s="1"/>
  <c r="E34" i="19"/>
  <c r="E36" i="19"/>
  <c r="H32" i="21" l="1"/>
  <c r="J38" i="21"/>
  <c r="H38" i="21" s="1"/>
  <c r="R36" i="21"/>
  <c r="K10" i="21"/>
  <c r="K18" i="21" s="1"/>
  <c r="K24" i="19"/>
  <c r="K19" i="19"/>
  <c r="M19" i="18"/>
  <c r="M14" i="18"/>
  <c r="M13" i="18"/>
  <c r="M12" i="18"/>
  <c r="M11" i="18"/>
  <c r="O32" i="18"/>
  <c r="O28" i="18"/>
  <c r="O25" i="18"/>
  <c r="O23" i="18"/>
  <c r="O22" i="18"/>
  <c r="O21" i="18"/>
  <c r="O17" i="18"/>
  <c r="O16" i="18"/>
  <c r="O14" i="18"/>
  <c r="O13" i="18"/>
  <c r="O12" i="18"/>
  <c r="O11" i="18"/>
  <c r="L24" i="18"/>
  <c r="L26" i="18"/>
  <c r="L10" i="18"/>
  <c r="L19" i="18" s="1"/>
  <c r="M17" i="18" s="1"/>
  <c r="I10" i="18"/>
  <c r="N19" i="19" l="1"/>
  <c r="K28" i="19"/>
  <c r="N28" i="19" s="1"/>
  <c r="O19" i="18"/>
  <c r="I19" i="18"/>
  <c r="L28" i="18"/>
  <c r="G17" i="18"/>
  <c r="G16" i="18"/>
  <c r="G14" i="18"/>
  <c r="G13" i="18"/>
  <c r="G12" i="18"/>
  <c r="G11" i="18"/>
  <c r="G10" i="18"/>
  <c r="I26" i="18"/>
  <c r="I24" i="18"/>
  <c r="I10" i="19" l="1"/>
  <c r="K30" i="19"/>
  <c r="K36" i="19" s="1"/>
  <c r="N36" i="19" s="1"/>
  <c r="L30" i="18"/>
  <c r="O30" i="18" s="1"/>
  <c r="J10" i="18"/>
  <c r="I28" i="18"/>
  <c r="K34" i="19" l="1"/>
  <c r="N34" i="19" s="1"/>
  <c r="N30" i="19"/>
  <c r="L34" i="18"/>
  <c r="O34" i="18" s="1"/>
  <c r="I30" i="18"/>
  <c r="I34" i="18" s="1"/>
  <c r="J17" i="18"/>
  <c r="J11" i="18"/>
  <c r="J16" i="18"/>
  <c r="J12" i="18"/>
  <c r="J13" i="18"/>
  <c r="J14" i="18"/>
</calcChain>
</file>

<file path=xl/sharedStrings.xml><?xml version="1.0" encoding="utf-8"?>
<sst xmlns="http://schemas.openxmlformats.org/spreadsheetml/2006/main" count="179" uniqueCount="69">
  <si>
    <r>
      <t xml:space="preserve">Rand NAV analysis for FY 2022 </t>
    </r>
    <r>
      <rPr>
        <b/>
        <vertAlign val="superscript"/>
        <sz val="11"/>
        <color theme="1"/>
        <rFont val="Arial"/>
        <family val="2"/>
      </rPr>
      <t>(1)</t>
    </r>
  </si>
  <si>
    <t>Audited</t>
  </si>
  <si>
    <t>Unaudited</t>
  </si>
  <si>
    <r>
      <t xml:space="preserve">Audited </t>
    </r>
    <r>
      <rPr>
        <b/>
        <vertAlign val="superscript"/>
        <sz val="10"/>
        <color theme="0"/>
        <rFont val="Arial"/>
        <family val="2"/>
      </rPr>
      <t>(2)</t>
    </r>
  </si>
  <si>
    <t>Movement</t>
  </si>
  <si>
    <t>31 Mar 2021</t>
  </si>
  <si>
    <t>30 Sep 2021</t>
  </si>
  <si>
    <t>31 Mar 2022</t>
  </si>
  <si>
    <t>FY22</t>
  </si>
  <si>
    <t>R'm</t>
  </si>
  <si>
    <t>Investments</t>
  </si>
  <si>
    <t xml:space="preserve">Premier </t>
  </si>
  <si>
    <t xml:space="preserve">Virgin Active </t>
  </si>
  <si>
    <t>New Look</t>
  </si>
  <si>
    <t>Other investments</t>
  </si>
  <si>
    <t>Cash and equivalents</t>
  </si>
  <si>
    <t>Accounts receivable</t>
  </si>
  <si>
    <t>Total Assets</t>
  </si>
  <si>
    <t>Borrowings (Drawn RCF)</t>
  </si>
  <si>
    <t>2024 Convertible Bond</t>
  </si>
  <si>
    <t>BIH Exchangeable Bonds</t>
  </si>
  <si>
    <t>Non-current liabilities</t>
  </si>
  <si>
    <t>Accounts payable &amp; provisions</t>
  </si>
  <si>
    <t>Current liabilities</t>
  </si>
  <si>
    <t>Total Liabilities</t>
  </si>
  <si>
    <t>Net Asset Value</t>
  </si>
  <si>
    <r>
      <t>No. of issued shares ('m) excluding treasury</t>
    </r>
    <r>
      <rPr>
        <b/>
        <vertAlign val="superscript"/>
        <sz val="10"/>
        <color theme="1"/>
        <rFont val="Arial"/>
        <family val="2"/>
      </rPr>
      <t xml:space="preserve"> </t>
    </r>
  </si>
  <si>
    <t xml:space="preserve">NAV per share </t>
  </si>
  <si>
    <t>(1)Closing Pound Sterling rates: Mar-22: R19.23; Sep-21: R20.26; Mar-21: R20.34
(2)The issuance of the BIH Exchangeable Bonds resulted in the change in classification to Investment Entity status for BIH, and consequent exemption from consolidation for the Group. This is just a change in disclosure in the audited financial statements and does not impact the Group’s key NAV per share reporting metric. For comparability, FY22 results shown above apply the look-through consolidation basis.</t>
  </si>
  <si>
    <t>Illustrative</t>
  </si>
  <si>
    <t>Impact of Recapitalisation</t>
  </si>
  <si>
    <t>Accounts payable and provisions</t>
  </si>
  <si>
    <r>
      <t xml:space="preserve">Diluted NAV per share </t>
    </r>
    <r>
      <rPr>
        <b/>
        <vertAlign val="superscript"/>
        <sz val="10"/>
        <color theme="1"/>
        <rFont val="Arial"/>
        <family val="2"/>
      </rPr>
      <t>(3)</t>
    </r>
  </si>
  <si>
    <t># of shares ('m)</t>
  </si>
  <si>
    <t>NAV to ordinary shareholders</t>
  </si>
  <si>
    <t>Cash and cash equivalents</t>
  </si>
  <si>
    <t>Borrowings (Drawn BML RCF)</t>
  </si>
  <si>
    <t>2024 Convertible Bonds</t>
  </si>
  <si>
    <r>
      <t xml:space="preserve">Rand NAV analysis for FY 2023 </t>
    </r>
    <r>
      <rPr>
        <b/>
        <vertAlign val="superscript"/>
        <sz val="11"/>
        <color theme="1"/>
        <rFont val="Arial"/>
        <family val="2"/>
      </rPr>
      <t>(1)(2)</t>
    </r>
  </si>
  <si>
    <t>31 Mar 2023</t>
  </si>
  <si>
    <t>FY23</t>
  </si>
  <si>
    <t>(1) Closing Pound Sterling rates: Mar-23: R21.92; Sep-22: R20.08; Mar-22: R19.23
(2) The issuance of the BIH Exchangeable Bonds resulted in BIH’s classification changing to that of an Investment Entity. In terms of IFRS10: Consolidated Financial Statements, this resulted, effective 1 October 2021, in the prospective exemption for the Group from consolidation. The results shown above apply the look-through consolidation basis.
(3) Illustrative diluted NAVPS assumes the outstanding BIH Exchangeable Bonds have exchanged into 686.2m Brait shares at the R4.37 exchange price. To the extent the prevailing share price of the Brait shares delivered at redemption date is less than the R4.37 exchange price, acash settlement would be required to cover the shortfall to the principal value of the BIH Exchangeable Bonds.</t>
  </si>
  <si>
    <r>
      <t xml:space="preserve">Rand NAV analysis for FY 2024 </t>
    </r>
    <r>
      <rPr>
        <b/>
        <vertAlign val="superscript"/>
        <sz val="11"/>
        <color theme="1"/>
        <rFont val="Arial"/>
        <family val="2"/>
      </rPr>
      <t>(1)(2)</t>
    </r>
  </si>
  <si>
    <t>30 Sep 2022</t>
  </si>
  <si>
    <t>Convertible Bonds</t>
  </si>
  <si>
    <t>31 Mar 2024</t>
  </si>
  <si>
    <t>Cash and receivables</t>
  </si>
  <si>
    <t>FY24</t>
  </si>
  <si>
    <t>Bond Repayments</t>
  </si>
  <si>
    <t>R1.5bn
Rights Offer</t>
  </si>
  <si>
    <r>
      <t xml:space="preserve">Post Recapitalisation </t>
    </r>
    <r>
      <rPr>
        <b/>
        <vertAlign val="superscript"/>
        <sz val="10"/>
        <color theme="0"/>
        <rFont val="Arial"/>
        <family val="2"/>
      </rPr>
      <t>(3)</t>
    </r>
  </si>
  <si>
    <r>
      <t xml:space="preserve">Diluted NAV per share </t>
    </r>
    <r>
      <rPr>
        <b/>
        <vertAlign val="superscript"/>
        <sz val="10"/>
        <color theme="1"/>
        <rFont val="Arial"/>
        <family val="2"/>
      </rPr>
      <t>(4)</t>
    </r>
  </si>
  <si>
    <t>(1)
(2)
(3)
(4)
(5)</t>
  </si>
  <si>
    <t>Closing Pound Sterling rates: Mar-24: R23.86; Sep-23: R23.02; Mar-23: R21.92.
The issuance of the BIH Exchangeable Bonds resulted in BIH’s classification changing to that of an Investment Entity. In terms of IFRS10: Consolidated Financial Statements, this resulted in the prospective exemption for the Group from consolidation. The results shown above apply the look-through consolidation basis.
31 March 2024 balance sheet adjusted for the illustrative effect of the Recapitalisation.
Illustrative diluted NAVPS assumes the outstanding BIH Exchangeable Bonds have exchanged at their principal value of R2,998.6m into Exchange Shares at the Exchange Price of R2.21 post Recapitalisation (Pre: R4.37), resulting in the issuance of 1,017.5m (Pre: 686.2m) Brait PLC shares. To the extent the prevailing share price of theBrait shares delivered at redemption date is less than the prevailing exchange price, acash settlement would be required to cover the shortfall to the principal value of the BIH Exchangeable Bonds.
Represents the illustrative movement in IAS32 determined carrying values of the Convertible and BIH Exchangeable Bonds as a result of the 3 year term extensions and coupon amendments pursuant to the Recapitalisation.</t>
  </si>
  <si>
    <t>30 Sep 2024</t>
  </si>
  <si>
    <r>
      <t xml:space="preserve">Rand NAV analysis for FY 2025 </t>
    </r>
    <r>
      <rPr>
        <b/>
        <vertAlign val="superscript"/>
        <sz val="11"/>
        <color theme="1"/>
        <rFont val="Arial"/>
        <family val="2"/>
      </rPr>
      <t>(1)(2)</t>
    </r>
  </si>
  <si>
    <t>(1)
(2)
(3)
(4)
(5)</t>
  </si>
  <si>
    <t>31 Mar 2025</t>
  </si>
  <si>
    <t>FY25</t>
  </si>
  <si>
    <t>Closing Pound Sterling rates: Mar-25: R23.65; Mar-24: R23.86.
In accordance with IFRS10, given the investment entity status of the wholly owned subsidiary Brait Investment Holdings Limited (“BIH”), the Company is exempted from producing consolidated financial statements. The results shown above apply the look-through consolidation basis.
For comparative purposes following the completion of the Recapitalisation, the Mar-25 NAV per share has been compared to the illustrative effect of the Recapitalisation on the reported Mar-24 NAV per share previously published to the market.
Illustrative diluted NAVPS assumes the 2,825,997 outstanding BIH Exchangeable Bonds have exchanged at their principal value of R2,119.5m (Pre Recapitalisation: R2,998.6m) into Exchange Shares at the Exchange Price of R2.21 post Recapitalisation (Pre: R4.37), resulting in the issuance of 959.0m (Pre: 686.2m) Brait PLC shares. To the extent the prevailing share price of the Brait shares delivered at redemption date is less than the prevailing exchange price, a cash settlement would be required to cover the shortfall to the principal value of the BIH Exchangeable Bonds.
Represents the illustrative movement in IAS32 determined carrying values of the Convertible and BIH Exchangeable Bonds as a result of the 3 year term extensions pursuant to the Recapitalisation.</t>
  </si>
  <si>
    <r>
      <t xml:space="preserve">Rand NAV analysis for FY 2026 </t>
    </r>
    <r>
      <rPr>
        <b/>
        <vertAlign val="superscript"/>
        <sz val="11"/>
        <color theme="1"/>
        <rFont val="Arial"/>
        <family val="2"/>
      </rPr>
      <t>(1)(2)</t>
    </r>
  </si>
  <si>
    <t>30 Sep 2025</t>
  </si>
  <si>
    <t>31 Mar 2026</t>
  </si>
  <si>
    <t>Premier - ordinary shares</t>
  </si>
  <si>
    <t>Premier - structured equity instrument</t>
  </si>
  <si>
    <t>FY26</t>
  </si>
  <si>
    <t>NAV per share - Reported</t>
  </si>
  <si>
    <r>
      <t xml:space="preserve">NAV per share - Look Through </t>
    </r>
    <r>
      <rPr>
        <b/>
        <vertAlign val="superscript"/>
        <sz val="10"/>
        <color theme="1"/>
        <rFont val="Arial"/>
        <family val="2"/>
      </rPr>
      <t>(3)</t>
    </r>
  </si>
  <si>
    <t>(1) Closing Pound Sterling rates: Mar-26: R22.54; Sep-25: R23.22; Mar-25: R23.65.
(2) In accordance with IFRS10, given the investment entity status of the wholly-owned subsidiary Brait Investment Holdings Limited (“BIH”), the Company is exempted from producing consolidated financial statements. The results shown above apply the look-through consolidation basis.
(3) The Look through NAV is calculated with the par values of the Convertible and Exchangeable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</si>
</sst>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_ * #,##0_ ;_ * \-#,##0_ ;_ * &quot;-&quot;??_ ;_ @_ "/>
    <numFmt numFmtId="166" formatCode="[$-409]d/mmm/yy;@"/>
    <numFmt numFmtId="167" formatCode="mmmm\ yyyy"/>
    <numFmt numFmtId="168" formatCode="##,##0,;\(##,##0,\);_(* &quot;-&quot;\ ??_);_(@_)"/>
    <numFmt numFmtId="169" formatCode="##,##0.0,;\(##,##0.0,\);_(* &quot;-&quot;\ ??_);_(@_)"/>
    <numFmt numFmtId="170" formatCode="0.0%;\-0.0%;\-"/>
    <numFmt numFmtId="171" formatCode="_ * #,##0.00_ ;_ * \(#,##0.00\)_ ;_ * &quot;-&quot;??_ ;_ @_ "/>
  </numFmts>
  <fonts count="20" x14ac:knownFonts="1">
    <font>
      <sz val="11"/>
      <color theme="1"/>
      <name val="Calibri"/>
      <family val="2"/>
      <scheme val="minor"/>
    </font>
    <font>
      <sz val="10"/>
      <color theme="1"/>
      <name val="Arial"/>
      <family val="2"/>
    </font>
    <font>
      <sz val="11"/>
      <color theme="1"/>
      <name val="Calibri"/>
      <family val="2"/>
      <scheme val="minor"/>
    </font>
    <font>
      <b/>
      <sz val="10"/>
      <color theme="1"/>
      <name val="Arial"/>
      <family val="2"/>
    </font>
    <font>
      <sz val="10"/>
      <color theme="1"/>
      <name val="Arial"/>
      <family val="2"/>
    </font>
    <font>
      <sz val="10"/>
      <color rgb="FF0070C0"/>
      <name val="Arial"/>
      <family val="2"/>
    </font>
    <font>
      <sz val="11"/>
      <color indexed="8"/>
      <name val="Calibri"/>
      <family val="2"/>
    </font>
    <font>
      <b/>
      <sz val="11"/>
      <color theme="1"/>
      <name val="Arial"/>
      <family val="2"/>
    </font>
    <font>
      <b/>
      <sz val="10"/>
      <color rgb="FF37424A"/>
      <name val="Arial"/>
      <family val="2"/>
    </font>
    <font>
      <sz val="10"/>
      <color rgb="FF37424A"/>
      <name val="Arial"/>
      <family val="2"/>
    </font>
    <font>
      <b/>
      <vertAlign val="superscript"/>
      <sz val="10"/>
      <color theme="1"/>
      <name val="Arial"/>
      <family val="2"/>
    </font>
    <font>
      <i/>
      <sz val="8"/>
      <color theme="1"/>
      <name val="Arial"/>
      <family val="2"/>
    </font>
    <font>
      <b/>
      <sz val="10"/>
      <color theme="0"/>
      <name val="Arial"/>
      <family val="2"/>
    </font>
    <font>
      <b/>
      <sz val="10"/>
      <color theme="5"/>
      <name val="Arial"/>
      <family val="2"/>
    </font>
    <font>
      <sz val="10"/>
      <color theme="5"/>
      <name val="Arial"/>
      <family val="2"/>
    </font>
    <font>
      <b/>
      <vertAlign val="superscript"/>
      <sz val="10"/>
      <color theme="0"/>
      <name val="Arial"/>
      <family val="2"/>
    </font>
    <font>
      <b/>
      <vertAlign val="superscript"/>
      <sz val="11"/>
      <color theme="1"/>
      <name val="Arial"/>
      <family val="2"/>
    </font>
    <font>
      <b/>
      <sz val="10"/>
      <color theme="4"/>
      <name val="Arial"/>
      <family val="2"/>
    </font>
    <font>
      <sz val="10"/>
      <color theme="4"/>
      <name val="Arial"/>
      <family val="2"/>
    </font>
    <font>
      <b/>
      <sz val="8"/>
      <color theme="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5"/>
        <bgColor indexed="64"/>
      </patternFill>
    </fill>
    <fill>
      <patternFill patternType="solid">
        <fgColor theme="9"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1" tint="0.59999389629810485"/>
        <bgColor indexed="64"/>
      </patternFill>
    </fill>
    <fill>
      <patternFill patternType="solid">
        <fgColor theme="0" tint="-0.34998626667073579"/>
        <bgColor indexed="64"/>
      </patternFill>
    </fill>
  </fills>
  <borders count="44">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bottom style="medium">
        <color theme="0"/>
      </bottom>
      <diagonal/>
    </border>
    <border>
      <left/>
      <right/>
      <top style="medium">
        <color theme="0"/>
      </top>
      <bottom/>
      <diagonal/>
    </border>
    <border>
      <left/>
      <right/>
      <top style="thin">
        <color theme="0" tint="-0.499984740745262"/>
      </top>
      <bottom style="thin">
        <color theme="0" tint="-0.499984740745262"/>
      </bottom>
      <diagonal/>
    </border>
    <border>
      <left/>
      <right style="thin">
        <color theme="0" tint="-0.499984740745262"/>
      </right>
      <top style="thin">
        <color theme="0" tint="-0.34998626667073579"/>
      </top>
      <bottom/>
      <diagonal/>
    </border>
    <border>
      <left style="thin">
        <color theme="0" tint="-0.34998626667073579"/>
      </left>
      <right/>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style="thin">
        <color theme="0" tint="-0.499984740745262"/>
      </top>
      <bottom/>
      <diagonal/>
    </border>
    <border>
      <left/>
      <right style="dashed">
        <color auto="1"/>
      </right>
      <top style="thin">
        <color theme="0" tint="-0.499984740745262"/>
      </top>
      <bottom/>
      <diagonal/>
    </border>
    <border>
      <left style="dashed">
        <color auto="1"/>
      </left>
      <right/>
      <top/>
      <bottom style="thin">
        <color theme="0" tint="-0.499984740745262"/>
      </bottom>
      <diagonal/>
    </border>
    <border>
      <left/>
      <right style="dashed">
        <color auto="1"/>
      </right>
      <top/>
      <bottom style="thin">
        <color theme="0" tint="-0.499984740745262"/>
      </bottom>
      <diagonal/>
    </border>
    <border>
      <left style="dashed">
        <color auto="1"/>
      </left>
      <right/>
      <top style="thin">
        <color indexed="64"/>
      </top>
      <bottom style="medium">
        <color indexed="64"/>
      </bottom>
      <diagonal/>
    </border>
    <border>
      <left/>
      <right style="dashed">
        <color auto="1"/>
      </right>
      <top style="thin">
        <color indexed="64"/>
      </top>
      <bottom style="medium">
        <color indexed="64"/>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dashed">
        <color auto="1"/>
      </left>
      <right/>
      <top style="thin">
        <color theme="0" tint="-0.34998626667073579"/>
      </top>
      <bottom/>
      <diagonal/>
    </border>
    <border>
      <left/>
      <right style="dashed">
        <color auto="1"/>
      </right>
      <top style="thin">
        <color theme="0" tint="-0.34998626667073579"/>
      </top>
      <bottom/>
      <diagonal/>
    </border>
    <border>
      <left style="dashed">
        <color auto="1"/>
      </left>
      <right/>
      <top/>
      <bottom style="thin">
        <color theme="0" tint="-0.34998626667073579"/>
      </bottom>
      <diagonal/>
    </border>
    <border>
      <left/>
      <right style="dashed">
        <color auto="1"/>
      </right>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s>
  <cellStyleXfs count="6">
    <xf numFmtId="0" fontId="0" fillId="0" borderId="0"/>
    <xf numFmtId="9" fontId="2" fillId="0" borderId="0" applyFont="0" applyFill="0" applyBorder="0" applyAlignment="0" applyProtection="0"/>
    <xf numFmtId="164" fontId="2" fillId="0" borderId="0" applyFont="0" applyFill="0" applyBorder="0" applyAlignment="0" applyProtection="0"/>
    <xf numFmtId="166" fontId="2" fillId="0" borderId="0"/>
    <xf numFmtId="9" fontId="2" fillId="0" borderId="0" applyFont="0" applyFill="0" applyBorder="0" applyAlignment="0" applyProtection="0"/>
    <xf numFmtId="164" fontId="6" fillId="0" borderId="0" applyFont="0" applyFill="0" applyBorder="0" applyAlignment="0" applyProtection="0"/>
  </cellStyleXfs>
  <cellXfs count="189">
    <xf numFmtId="0" fontId="0" fillId="0" borderId="0" xfId="0"/>
    <xf numFmtId="166" fontId="3" fillId="0" borderId="0" xfId="3" applyFont="1"/>
    <xf numFmtId="166" fontId="4" fillId="0" borderId="0" xfId="3" applyFont="1"/>
    <xf numFmtId="165" fontId="4" fillId="2" borderId="0" xfId="2" applyNumberFormat="1" applyFont="1" applyFill="1" applyAlignment="1"/>
    <xf numFmtId="165" fontId="4" fillId="0" borderId="0" xfId="2" applyNumberFormat="1" applyFont="1" applyFill="1" applyAlignment="1"/>
    <xf numFmtId="166" fontId="7" fillId="0" borderId="0" xfId="3" applyFont="1" applyAlignment="1">
      <alignment horizontal="right"/>
    </xf>
    <xf numFmtId="0" fontId="4" fillId="0" borderId="0" xfId="0" applyFont="1"/>
    <xf numFmtId="168" fontId="8" fillId="2" borderId="0" xfId="4" applyNumberFormat="1" applyFont="1" applyFill="1" applyBorder="1" applyAlignment="1">
      <alignment wrapText="1" readingOrder="1"/>
    </xf>
    <xf numFmtId="168" fontId="8" fillId="0" borderId="0" xfId="4" applyNumberFormat="1" applyFont="1" applyFill="1" applyBorder="1" applyAlignment="1">
      <alignment wrapText="1" readingOrder="1"/>
    </xf>
    <xf numFmtId="168" fontId="9" fillId="2" borderId="0" xfId="4" applyNumberFormat="1" applyFont="1" applyFill="1" applyBorder="1" applyAlignment="1">
      <alignment wrapText="1" readingOrder="1"/>
    </xf>
    <xf numFmtId="168" fontId="9" fillId="0" borderId="0" xfId="4" applyNumberFormat="1" applyFont="1" applyFill="1" applyBorder="1" applyAlignment="1">
      <alignment wrapText="1" readingOrder="1"/>
    </xf>
    <xf numFmtId="168" fontId="8" fillId="2" borderId="1" xfId="4" applyNumberFormat="1" applyFont="1" applyFill="1" applyBorder="1" applyAlignment="1">
      <alignment wrapText="1" readingOrder="1"/>
    </xf>
    <xf numFmtId="168" fontId="8" fillId="0" borderId="1" xfId="4" applyNumberFormat="1" applyFont="1" applyFill="1" applyBorder="1" applyAlignment="1">
      <alignment wrapText="1" readingOrder="1"/>
    </xf>
    <xf numFmtId="169" fontId="8" fillId="2" borderId="0" xfId="4" applyNumberFormat="1" applyFont="1" applyFill="1" applyBorder="1" applyAlignment="1">
      <alignment wrapText="1" readingOrder="1"/>
    </xf>
    <xf numFmtId="0" fontId="4" fillId="0" borderId="0" xfId="0" applyFont="1" applyAlignment="1">
      <alignment horizontal="right"/>
    </xf>
    <xf numFmtId="168" fontId="9" fillId="4" borderId="0" xfId="4" applyNumberFormat="1" applyFont="1" applyFill="1" applyBorder="1" applyAlignment="1">
      <alignment wrapText="1" readingOrder="1"/>
    </xf>
    <xf numFmtId="169" fontId="8" fillId="4" borderId="0" xfId="4" applyNumberFormat="1" applyFont="1" applyFill="1" applyBorder="1" applyAlignment="1">
      <alignment wrapText="1" readingOrder="1"/>
    </xf>
    <xf numFmtId="168" fontId="8" fillId="4" borderId="0" xfId="4" applyNumberFormat="1" applyFont="1" applyFill="1" applyBorder="1" applyAlignment="1">
      <alignment wrapText="1" readingOrder="1"/>
    </xf>
    <xf numFmtId="165" fontId="4" fillId="4" borderId="0" xfId="2" applyNumberFormat="1" applyFont="1" applyFill="1" applyAlignment="1"/>
    <xf numFmtId="0" fontId="4" fillId="0" borderId="1" xfId="0" applyFont="1" applyBorder="1"/>
    <xf numFmtId="168" fontId="8" fillId="4" borderId="1" xfId="4" applyNumberFormat="1" applyFont="1" applyFill="1" applyBorder="1" applyAlignment="1">
      <alignment wrapText="1" readingOrder="1"/>
    </xf>
    <xf numFmtId="166" fontId="4" fillId="0" borderId="1" xfId="3" applyFont="1" applyBorder="1"/>
    <xf numFmtId="166" fontId="3" fillId="0" borderId="1" xfId="3" applyFont="1" applyBorder="1"/>
    <xf numFmtId="166" fontId="4" fillId="0" borderId="3" xfId="3" applyFont="1" applyBorder="1"/>
    <xf numFmtId="0" fontId="4" fillId="0" borderId="4" xfId="0" applyFont="1" applyBorder="1"/>
    <xf numFmtId="168" fontId="9" fillId="4" borderId="4" xfId="4" applyNumberFormat="1" applyFont="1" applyFill="1" applyBorder="1" applyAlignment="1">
      <alignment wrapText="1" readingOrder="1"/>
    </xf>
    <xf numFmtId="168" fontId="9" fillId="2" borderId="4" xfId="4" applyNumberFormat="1" applyFont="1" applyFill="1" applyBorder="1" applyAlignment="1">
      <alignment wrapText="1" readingOrder="1"/>
    </xf>
    <xf numFmtId="166" fontId="4" fillId="0" borderId="6" xfId="3" applyFont="1" applyBorder="1"/>
    <xf numFmtId="166" fontId="4" fillId="0" borderId="8" xfId="3" applyFont="1" applyBorder="1"/>
    <xf numFmtId="0" fontId="4" fillId="0" borderId="9" xfId="0" applyFont="1" applyBorder="1"/>
    <xf numFmtId="0" fontId="4" fillId="0" borderId="9" xfId="0" applyFont="1" applyBorder="1" applyAlignment="1">
      <alignment horizontal="right"/>
    </xf>
    <xf numFmtId="168" fontId="9" fillId="4" borderId="9" xfId="4" applyNumberFormat="1" applyFont="1" applyFill="1" applyBorder="1" applyAlignment="1">
      <alignment wrapText="1" readingOrder="1"/>
    </xf>
    <xf numFmtId="168" fontId="9" fillId="2" borderId="9" xfId="4" applyNumberFormat="1" applyFont="1" applyFill="1" applyBorder="1" applyAlignment="1">
      <alignment wrapText="1" readingOrder="1"/>
    </xf>
    <xf numFmtId="166" fontId="4" fillId="0" borderId="11" xfId="3" applyFont="1" applyBorder="1"/>
    <xf numFmtId="0" fontId="4" fillId="0" borderId="12" xfId="0" applyFont="1" applyBorder="1"/>
    <xf numFmtId="168" fontId="9" fillId="4" borderId="12" xfId="4" applyNumberFormat="1" applyFont="1" applyFill="1" applyBorder="1" applyAlignment="1">
      <alignment wrapText="1" readingOrder="1"/>
    </xf>
    <xf numFmtId="168" fontId="9" fillId="2" borderId="12" xfId="4" applyNumberFormat="1" applyFont="1" applyFill="1" applyBorder="1" applyAlignment="1">
      <alignment wrapText="1" readingOrder="1"/>
    </xf>
    <xf numFmtId="166" fontId="4" fillId="0" borderId="13" xfId="3" applyFont="1" applyBorder="1"/>
    <xf numFmtId="0" fontId="4" fillId="0" borderId="14" xfId="0" applyFont="1" applyBorder="1"/>
    <xf numFmtId="168" fontId="9" fillId="4" borderId="14" xfId="4" applyNumberFormat="1" applyFont="1" applyFill="1" applyBorder="1" applyAlignment="1">
      <alignment wrapText="1" readingOrder="1"/>
    </xf>
    <xf numFmtId="168" fontId="9" fillId="2" borderId="14" xfId="4" applyNumberFormat="1" applyFont="1" applyFill="1" applyBorder="1" applyAlignment="1">
      <alignment wrapText="1" readingOrder="1"/>
    </xf>
    <xf numFmtId="0" fontId="3" fillId="0" borderId="0" xfId="0" applyFont="1"/>
    <xf numFmtId="0" fontId="3" fillId="0" borderId="0" xfId="0" applyFont="1" applyAlignment="1">
      <alignment horizontal="right"/>
    </xf>
    <xf numFmtId="170" fontId="13" fillId="4" borderId="0" xfId="1" applyNumberFormat="1" applyFont="1" applyFill="1" applyBorder="1" applyAlignment="1">
      <alignment horizontal="right" wrapText="1" indent="1" readingOrder="1"/>
    </xf>
    <xf numFmtId="170" fontId="14" fillId="4" borderId="4" xfId="1" applyNumberFormat="1" applyFont="1" applyFill="1" applyBorder="1" applyAlignment="1">
      <alignment horizontal="right" wrapText="1" indent="1" readingOrder="1"/>
    </xf>
    <xf numFmtId="170" fontId="14" fillId="4" borderId="0" xfId="1" applyNumberFormat="1" applyFont="1" applyFill="1" applyBorder="1" applyAlignment="1">
      <alignment horizontal="right" wrapText="1" indent="1" readingOrder="1"/>
    </xf>
    <xf numFmtId="170" fontId="14" fillId="4" borderId="9" xfId="1" applyNumberFormat="1" applyFont="1" applyFill="1" applyBorder="1" applyAlignment="1">
      <alignment horizontal="right" wrapText="1" indent="1" readingOrder="1"/>
    </xf>
    <xf numFmtId="170" fontId="14" fillId="4" borderId="0" xfId="4" applyNumberFormat="1" applyFont="1" applyFill="1" applyBorder="1" applyAlignment="1">
      <alignment horizontal="right" wrapText="1" indent="1" readingOrder="1"/>
    </xf>
    <xf numFmtId="170" fontId="13" fillId="4" borderId="1" xfId="1" applyNumberFormat="1" applyFont="1" applyFill="1" applyBorder="1" applyAlignment="1">
      <alignment horizontal="right" wrapText="1" indent="1" readingOrder="1"/>
    </xf>
    <xf numFmtId="168" fontId="9" fillId="8" borderId="12" xfId="4" applyNumberFormat="1" applyFont="1" applyFill="1" applyBorder="1" applyAlignment="1">
      <alignment wrapText="1" readingOrder="1"/>
    </xf>
    <xf numFmtId="168" fontId="9" fillId="8" borderId="0" xfId="4" applyNumberFormat="1" applyFont="1" applyFill="1" applyBorder="1" applyAlignment="1">
      <alignment wrapText="1" readingOrder="1"/>
    </xf>
    <xf numFmtId="166" fontId="4" fillId="0" borderId="16" xfId="3" applyFont="1" applyBorder="1"/>
    <xf numFmtId="0" fontId="4" fillId="0" borderId="17" xfId="0" applyFont="1" applyBorder="1"/>
    <xf numFmtId="168" fontId="9" fillId="4" borderId="17" xfId="4" applyNumberFormat="1" applyFont="1" applyFill="1" applyBorder="1" applyAlignment="1">
      <alignment wrapText="1" readingOrder="1"/>
    </xf>
    <xf numFmtId="168" fontId="9" fillId="2" borderId="17" xfId="4" applyNumberFormat="1" applyFont="1" applyFill="1" applyBorder="1" applyAlignment="1">
      <alignment wrapText="1" readingOrder="1"/>
    </xf>
    <xf numFmtId="166" fontId="7" fillId="0" borderId="0" xfId="3" applyFont="1"/>
    <xf numFmtId="0" fontId="11" fillId="0" borderId="0" xfId="0" applyFont="1" applyAlignment="1">
      <alignment vertical="top" wrapText="1"/>
    </xf>
    <xf numFmtId="168" fontId="8" fillId="8" borderId="0" xfId="4" applyNumberFormat="1" applyFont="1" applyFill="1" applyBorder="1" applyAlignment="1">
      <alignment wrapText="1" readingOrder="1"/>
    </xf>
    <xf numFmtId="168" fontId="9" fillId="8" borderId="4" xfId="4" applyNumberFormat="1" applyFont="1" applyFill="1" applyBorder="1" applyAlignment="1">
      <alignment wrapText="1" readingOrder="1"/>
    </xf>
    <xf numFmtId="168" fontId="9" fillId="8" borderId="9" xfId="4" applyNumberFormat="1" applyFont="1" applyFill="1" applyBorder="1" applyAlignment="1">
      <alignment wrapText="1" readingOrder="1"/>
    </xf>
    <xf numFmtId="168" fontId="8" fillId="8" borderId="1" xfId="4" applyNumberFormat="1" applyFont="1" applyFill="1" applyBorder="1" applyAlignment="1">
      <alignment wrapText="1" readingOrder="1"/>
    </xf>
    <xf numFmtId="168" fontId="5" fillId="8" borderId="0" xfId="4" applyNumberFormat="1" applyFont="1" applyFill="1" applyBorder="1" applyAlignment="1">
      <alignment horizontal="left" wrapText="1" indent="1" readingOrder="1"/>
    </xf>
    <xf numFmtId="0" fontId="4" fillId="8" borderId="4" xfId="0" applyFont="1" applyFill="1" applyBorder="1"/>
    <xf numFmtId="0" fontId="4" fillId="8" borderId="9" xfId="0" applyFont="1" applyFill="1" applyBorder="1"/>
    <xf numFmtId="0" fontId="4" fillId="8" borderId="0" xfId="0" applyFont="1" applyFill="1"/>
    <xf numFmtId="168" fontId="9" fillId="8" borderId="17" xfId="4" applyNumberFormat="1" applyFont="1" applyFill="1" applyBorder="1" applyAlignment="1">
      <alignment wrapText="1" readingOrder="1"/>
    </xf>
    <xf numFmtId="0" fontId="4" fillId="8" borderId="17" xfId="0" applyFont="1" applyFill="1" applyBorder="1"/>
    <xf numFmtId="0" fontId="4" fillId="8" borderId="1" xfId="0" applyFont="1" applyFill="1" applyBorder="1"/>
    <xf numFmtId="165" fontId="4" fillId="8" borderId="0" xfId="2" applyNumberFormat="1" applyFont="1" applyFill="1" applyAlignment="1"/>
    <xf numFmtId="169" fontId="8" fillId="8" borderId="0" xfId="4" applyNumberFormat="1" applyFont="1" applyFill="1" applyBorder="1" applyAlignment="1">
      <alignment wrapText="1" readingOrder="1"/>
    </xf>
    <xf numFmtId="164" fontId="12" fillId="9" borderId="0" xfId="5" applyFont="1" applyFill="1" applyBorder="1" applyAlignment="1"/>
    <xf numFmtId="0" fontId="4" fillId="9" borderId="0" xfId="0" applyFont="1" applyFill="1"/>
    <xf numFmtId="164" fontId="12" fillId="5" borderId="0" xfId="5" applyFont="1" applyFill="1" applyBorder="1" applyAlignment="1"/>
    <xf numFmtId="164" fontId="12" fillId="3" borderId="0" xfId="5" applyFont="1" applyFill="1" applyBorder="1" applyAlignment="1"/>
    <xf numFmtId="0" fontId="4" fillId="3" borderId="0" xfId="0" applyFont="1" applyFill="1"/>
    <xf numFmtId="0" fontId="4" fillId="4" borderId="0" xfId="0" applyFont="1" applyFill="1"/>
    <xf numFmtId="0" fontId="4" fillId="4" borderId="1" xfId="0" applyFont="1" applyFill="1" applyBorder="1"/>
    <xf numFmtId="170" fontId="3" fillId="8" borderId="0" xfId="1" applyNumberFormat="1" applyFont="1" applyFill="1" applyBorder="1" applyAlignment="1">
      <alignment horizontal="right" wrapText="1" indent="1" readingOrder="1"/>
    </xf>
    <xf numFmtId="170" fontId="4" fillId="8" borderId="4" xfId="1" applyNumberFormat="1" applyFont="1" applyFill="1" applyBorder="1" applyAlignment="1">
      <alignment horizontal="right" wrapText="1" indent="1" readingOrder="1"/>
    </xf>
    <xf numFmtId="170" fontId="4" fillId="8" borderId="0" xfId="1" applyNumberFormat="1" applyFont="1" applyFill="1" applyBorder="1" applyAlignment="1">
      <alignment horizontal="right" wrapText="1" indent="1" readingOrder="1"/>
    </xf>
    <xf numFmtId="170" fontId="4" fillId="8" borderId="9" xfId="1" applyNumberFormat="1" applyFont="1" applyFill="1" applyBorder="1" applyAlignment="1">
      <alignment horizontal="right" wrapText="1" indent="1" readingOrder="1"/>
    </xf>
    <xf numFmtId="170" fontId="4" fillId="8" borderId="0" xfId="4" applyNumberFormat="1" applyFont="1" applyFill="1" applyBorder="1" applyAlignment="1">
      <alignment horizontal="right" wrapText="1" indent="1" readingOrder="1"/>
    </xf>
    <xf numFmtId="170" fontId="3" fillId="8" borderId="1" xfId="1" applyNumberFormat="1" applyFont="1" applyFill="1" applyBorder="1" applyAlignment="1">
      <alignment horizontal="right" wrapText="1" indent="1" readingOrder="1"/>
    </xf>
    <xf numFmtId="0" fontId="4" fillId="5" borderId="0" xfId="0" applyFont="1" applyFill="1"/>
    <xf numFmtId="164" fontId="12" fillId="7" borderId="0" xfId="5" applyFont="1" applyFill="1" applyBorder="1" applyAlignment="1"/>
    <xf numFmtId="0" fontId="12" fillId="7" borderId="18" xfId="2" applyNumberFormat="1" applyFont="1" applyFill="1" applyBorder="1" applyAlignment="1">
      <alignment horizontal="center"/>
    </xf>
    <xf numFmtId="167" fontId="12" fillId="7" borderId="19" xfId="2" quotePrefix="1" applyNumberFormat="1" applyFont="1" applyFill="1" applyBorder="1" applyAlignment="1">
      <alignment horizontal="center"/>
    </xf>
    <xf numFmtId="169" fontId="8" fillId="0" borderId="0" xfId="4" applyNumberFormat="1" applyFont="1" applyFill="1" applyBorder="1" applyAlignment="1">
      <alignment wrapText="1" readingOrder="1"/>
    </xf>
    <xf numFmtId="0" fontId="4" fillId="4" borderId="4" xfId="0" applyFont="1" applyFill="1" applyBorder="1"/>
    <xf numFmtId="0" fontId="4" fillId="4" borderId="9" xfId="0" applyFont="1" applyFill="1" applyBorder="1"/>
    <xf numFmtId="0" fontId="4" fillId="4" borderId="17" xfId="0" applyFont="1" applyFill="1" applyBorder="1"/>
    <xf numFmtId="0" fontId="4" fillId="0" borderId="20" xfId="0" applyFont="1" applyBorder="1"/>
    <xf numFmtId="0" fontId="4" fillId="0" borderId="6" xfId="0" applyFont="1" applyBorder="1"/>
    <xf numFmtId="0" fontId="4" fillId="0" borderId="6" xfId="0" applyFont="1" applyBorder="1" applyAlignment="1">
      <alignment horizontal="right"/>
    </xf>
    <xf numFmtId="0" fontId="4" fillId="2" borderId="0" xfId="0" applyFont="1" applyFill="1"/>
    <xf numFmtId="0" fontId="4" fillId="2" borderId="5" xfId="0" applyFont="1" applyFill="1" applyBorder="1"/>
    <xf numFmtId="0" fontId="4" fillId="2" borderId="10" xfId="0" applyFont="1" applyFill="1" applyBorder="1"/>
    <xf numFmtId="0" fontId="4" fillId="2" borderId="17" xfId="0" applyFont="1" applyFill="1" applyBorder="1"/>
    <xf numFmtId="0" fontId="4" fillId="2" borderId="1" xfId="0" applyFont="1" applyFill="1" applyBorder="1"/>
    <xf numFmtId="170" fontId="17" fillId="2" borderId="0" xfId="1" applyNumberFormat="1" applyFont="1" applyFill="1" applyBorder="1" applyAlignment="1">
      <alignment horizontal="right" wrapText="1" indent="1" readingOrder="1"/>
    </xf>
    <xf numFmtId="170" fontId="18" fillId="2" borderId="5" xfId="1" applyNumberFormat="1" applyFont="1" applyFill="1" applyBorder="1" applyAlignment="1">
      <alignment horizontal="right" wrapText="1" indent="1" readingOrder="1"/>
    </xf>
    <xf numFmtId="170" fontId="18" fillId="2" borderId="7" xfId="1" applyNumberFormat="1" applyFont="1" applyFill="1" applyBorder="1" applyAlignment="1">
      <alignment horizontal="right" wrapText="1" indent="1" readingOrder="1"/>
    </xf>
    <xf numFmtId="170" fontId="18" fillId="2" borderId="10" xfId="1" applyNumberFormat="1" applyFont="1" applyFill="1" applyBorder="1" applyAlignment="1">
      <alignment horizontal="right" wrapText="1" indent="1" readingOrder="1"/>
    </xf>
    <xf numFmtId="170" fontId="18" fillId="2" borderId="0" xfId="1" applyNumberFormat="1" applyFont="1" applyFill="1" applyBorder="1" applyAlignment="1">
      <alignment horizontal="right" wrapText="1" indent="1" readingOrder="1"/>
    </xf>
    <xf numFmtId="170" fontId="17" fillId="2" borderId="1" xfId="1" applyNumberFormat="1" applyFont="1" applyFill="1" applyBorder="1" applyAlignment="1">
      <alignment horizontal="right" wrapText="1" indent="1" readingOrder="1"/>
    </xf>
    <xf numFmtId="0" fontId="4" fillId="2" borderId="7" xfId="0" applyFont="1" applyFill="1" applyBorder="1"/>
    <xf numFmtId="166" fontId="3" fillId="0" borderId="0" xfId="3" applyFont="1" applyAlignment="1">
      <alignment vertical="center"/>
    </xf>
    <xf numFmtId="166" fontId="4" fillId="0" borderId="0" xfId="3" applyFont="1" applyAlignment="1">
      <alignment vertical="center"/>
    </xf>
    <xf numFmtId="0" fontId="4" fillId="0" borderId="0" xfId="0" applyFont="1" applyAlignment="1">
      <alignment vertical="center"/>
    </xf>
    <xf numFmtId="165" fontId="3" fillId="8" borderId="0" xfId="2" applyNumberFormat="1" applyFont="1" applyFill="1" applyBorder="1" applyAlignment="1">
      <alignment horizontal="right" vertical="center"/>
    </xf>
    <xf numFmtId="165" fontId="5" fillId="8" borderId="0" xfId="2" applyNumberFormat="1" applyFont="1" applyFill="1" applyBorder="1" applyAlignment="1">
      <alignment vertical="center"/>
    </xf>
    <xf numFmtId="165" fontId="5" fillId="4" borderId="0" xfId="2" applyNumberFormat="1" applyFont="1" applyFill="1" applyAlignment="1">
      <alignment vertical="center"/>
    </xf>
    <xf numFmtId="165" fontId="5" fillId="2" borderId="0" xfId="2" applyNumberFormat="1" applyFont="1" applyFill="1" applyAlignment="1">
      <alignment vertical="center"/>
    </xf>
    <xf numFmtId="165" fontId="3" fillId="4" borderId="0" xfId="2" applyNumberFormat="1" applyFont="1" applyFill="1" applyAlignment="1">
      <alignment horizontal="right" vertical="center"/>
    </xf>
    <xf numFmtId="165" fontId="3" fillId="2" borderId="0" xfId="2" applyNumberFormat="1" applyFont="1" applyFill="1" applyAlignment="1">
      <alignment horizontal="right" vertical="center"/>
    </xf>
    <xf numFmtId="165" fontId="3" fillId="0" borderId="0" xfId="2" applyNumberFormat="1" applyFont="1" applyFill="1" applyAlignment="1">
      <alignment horizontal="right" vertical="center"/>
    </xf>
    <xf numFmtId="171" fontId="12" fillId="7" borderId="0" xfId="5" applyNumberFormat="1" applyFont="1" applyFill="1" applyBorder="1" applyAlignment="1"/>
    <xf numFmtId="168" fontId="9" fillId="8" borderId="14" xfId="4" applyNumberFormat="1" applyFont="1" applyFill="1" applyBorder="1" applyAlignment="1">
      <alignment wrapText="1" readingOrder="1"/>
    </xf>
    <xf numFmtId="0" fontId="4" fillId="8" borderId="14" xfId="0" applyFont="1" applyFill="1" applyBorder="1"/>
    <xf numFmtId="0" fontId="4" fillId="2" borderId="14" xfId="0" applyFont="1" applyFill="1" applyBorder="1"/>
    <xf numFmtId="0" fontId="4" fillId="8" borderId="12" xfId="0" applyFont="1" applyFill="1" applyBorder="1"/>
    <xf numFmtId="0" fontId="4" fillId="2" borderId="21" xfId="0" applyFont="1" applyFill="1" applyBorder="1"/>
    <xf numFmtId="166" fontId="4" fillId="0" borderId="22" xfId="3" applyFont="1" applyBorder="1"/>
    <xf numFmtId="166" fontId="1" fillId="0" borderId="6" xfId="3" applyFont="1" applyBorder="1"/>
    <xf numFmtId="168" fontId="9" fillId="0" borderId="4" xfId="4" applyNumberFormat="1" applyFont="1" applyFill="1" applyBorder="1" applyAlignment="1">
      <alignment wrapText="1" readingOrder="1"/>
    </xf>
    <xf numFmtId="170" fontId="18" fillId="2" borderId="4" xfId="1" applyNumberFormat="1" applyFont="1" applyFill="1" applyBorder="1" applyAlignment="1">
      <alignment horizontal="right" wrapText="1" indent="1" readingOrder="1"/>
    </xf>
    <xf numFmtId="170" fontId="18" fillId="2" borderId="9" xfId="1" applyNumberFormat="1" applyFont="1" applyFill="1" applyBorder="1" applyAlignment="1">
      <alignment horizontal="right" wrapText="1" indent="1" readingOrder="1"/>
    </xf>
    <xf numFmtId="0" fontId="4" fillId="0" borderId="23" xfId="0" applyFont="1" applyBorder="1"/>
    <xf numFmtId="0" fontId="4" fillId="0" borderId="24" xfId="0" applyFont="1" applyBorder="1"/>
    <xf numFmtId="0" fontId="4" fillId="0" borderId="25" xfId="0" applyFont="1" applyBorder="1"/>
    <xf numFmtId="0" fontId="4" fillId="0" borderId="26" xfId="0" applyFont="1" applyBorder="1"/>
    <xf numFmtId="0" fontId="4" fillId="0" borderId="27" xfId="0" applyFont="1" applyBorder="1"/>
    <xf numFmtId="0" fontId="4" fillId="0" borderId="26" xfId="0" applyFont="1" applyBorder="1" applyAlignment="1">
      <alignment vertical="center"/>
    </xf>
    <xf numFmtId="0" fontId="4" fillId="0" borderId="27" xfId="0" applyFont="1" applyBorder="1" applyAlignment="1">
      <alignment vertical="center"/>
    </xf>
    <xf numFmtId="0" fontId="4" fillId="0" borderId="28" xfId="0" applyFont="1" applyBorder="1"/>
    <xf numFmtId="0" fontId="4" fillId="0" borderId="29" xfId="0" applyFont="1" applyBorder="1"/>
    <xf numFmtId="0" fontId="4" fillId="0" borderId="30" xfId="0" applyFont="1" applyBorder="1" applyAlignment="1">
      <alignment horizontal="right"/>
    </xf>
    <xf numFmtId="0" fontId="4" fillId="0" borderId="31" xfId="0" applyFont="1" applyBorder="1" applyAlignment="1">
      <alignment horizontal="right"/>
    </xf>
    <xf numFmtId="0" fontId="4" fillId="0" borderId="26" xfId="0" applyFont="1" applyBorder="1" applyAlignment="1">
      <alignment horizontal="right"/>
    </xf>
    <xf numFmtId="0" fontId="4" fillId="0" borderId="27" xfId="0" applyFont="1" applyBorder="1" applyAlignment="1">
      <alignment horizontal="right"/>
    </xf>
    <xf numFmtId="0" fontId="3" fillId="0" borderId="26" xfId="0" applyFont="1" applyBorder="1" applyAlignment="1">
      <alignment horizontal="right"/>
    </xf>
    <xf numFmtId="0" fontId="3" fillId="0" borderId="27" xfId="0" applyFont="1" applyBorder="1" applyAlignment="1">
      <alignment horizontal="right"/>
    </xf>
    <xf numFmtId="0" fontId="4" fillId="0" borderId="32" xfId="0" applyFont="1" applyBorder="1"/>
    <xf numFmtId="0" fontId="4" fillId="0" borderId="33" xfId="0" applyFont="1" applyBorder="1"/>
    <xf numFmtId="0" fontId="4" fillId="0" borderId="30" xfId="0" applyFont="1" applyBorder="1"/>
    <xf numFmtId="0" fontId="4" fillId="0" borderId="31" xfId="0" applyFont="1" applyBorder="1"/>
    <xf numFmtId="0" fontId="4" fillId="0" borderId="34" xfId="0" applyFont="1" applyBorder="1"/>
    <xf numFmtId="0" fontId="4" fillId="0" borderId="35" xfId="0" applyFont="1" applyBorder="1"/>
    <xf numFmtId="0" fontId="4" fillId="0" borderId="36" xfId="0" applyFont="1" applyBorder="1"/>
    <xf numFmtId="0" fontId="4" fillId="2" borderId="12" xfId="0" applyFont="1" applyFill="1" applyBorder="1"/>
    <xf numFmtId="0" fontId="4" fillId="2" borderId="4" xfId="0" applyFont="1" applyFill="1" applyBorder="1"/>
    <xf numFmtId="0" fontId="4" fillId="2" borderId="9" xfId="0" applyFont="1" applyFill="1" applyBorder="1"/>
    <xf numFmtId="168" fontId="9" fillId="0" borderId="12" xfId="4" applyNumberFormat="1" applyFont="1" applyFill="1" applyBorder="1" applyAlignment="1">
      <alignment wrapText="1" readingOrder="1"/>
    </xf>
    <xf numFmtId="0" fontId="4" fillId="0" borderId="39" xfId="0" applyFont="1" applyBorder="1"/>
    <xf numFmtId="0" fontId="4" fillId="0" borderId="40" xfId="0" applyFont="1" applyBorder="1"/>
    <xf numFmtId="168" fontId="9" fillId="0" borderId="14" xfId="4" applyNumberFormat="1" applyFont="1" applyFill="1" applyBorder="1" applyAlignment="1">
      <alignment wrapText="1" readingOrder="1"/>
    </xf>
    <xf numFmtId="0" fontId="4" fillId="0" borderId="41" xfId="0" applyFont="1" applyBorder="1"/>
    <xf numFmtId="0" fontId="4" fillId="0" borderId="42" xfId="0" applyFont="1" applyBorder="1"/>
    <xf numFmtId="0" fontId="4" fillId="2" borderId="15" xfId="0" applyFont="1" applyFill="1" applyBorder="1"/>
    <xf numFmtId="168" fontId="9" fillId="0" borderId="9" xfId="4" applyNumberFormat="1" applyFont="1" applyFill="1" applyBorder="1" applyAlignment="1">
      <alignment wrapText="1" readingOrder="1"/>
    </xf>
    <xf numFmtId="164" fontId="12" fillId="10" borderId="0" xfId="5" applyFont="1" applyFill="1" applyBorder="1" applyAlignment="1"/>
    <xf numFmtId="0" fontId="4" fillId="10" borderId="0" xfId="0" applyFont="1" applyFill="1"/>
    <xf numFmtId="165" fontId="3" fillId="4" borderId="0" xfId="2" applyNumberFormat="1" applyFont="1" applyFill="1" applyBorder="1" applyAlignment="1">
      <alignment horizontal="right" vertical="center"/>
    </xf>
    <xf numFmtId="165" fontId="5" fillId="4" borderId="0" xfId="2" applyNumberFormat="1" applyFont="1" applyFill="1" applyBorder="1" applyAlignment="1">
      <alignment vertical="center"/>
    </xf>
    <xf numFmtId="168" fontId="5" fillId="4" borderId="0" xfId="4" applyNumberFormat="1" applyFont="1" applyFill="1" applyBorder="1" applyAlignment="1">
      <alignment horizontal="left" wrapText="1" indent="1" readingOrder="1"/>
    </xf>
    <xf numFmtId="0" fontId="4" fillId="4" borderId="12" xfId="0" applyFont="1" applyFill="1" applyBorder="1"/>
    <xf numFmtId="0" fontId="4" fillId="4" borderId="14" xfId="0" applyFont="1" applyFill="1" applyBorder="1"/>
    <xf numFmtId="168" fontId="9" fillId="0" borderId="5" xfId="4" applyNumberFormat="1" applyFont="1" applyFill="1" applyBorder="1" applyAlignment="1">
      <alignment wrapText="1" readingOrder="1"/>
    </xf>
    <xf numFmtId="168" fontId="9" fillId="0" borderId="7" xfId="4" applyNumberFormat="1" applyFont="1" applyFill="1" applyBorder="1" applyAlignment="1">
      <alignment wrapText="1" readingOrder="1"/>
    </xf>
    <xf numFmtId="168" fontId="9" fillId="0" borderId="10" xfId="4" applyNumberFormat="1" applyFont="1" applyFill="1" applyBorder="1" applyAlignment="1">
      <alignment wrapText="1" readingOrder="1"/>
    </xf>
    <xf numFmtId="168" fontId="9" fillId="0" borderId="43" xfId="4" applyNumberFormat="1" applyFont="1" applyFill="1" applyBorder="1" applyAlignment="1">
      <alignment wrapText="1" readingOrder="1"/>
    </xf>
    <xf numFmtId="0" fontId="11" fillId="0" borderId="0" xfId="0" applyFont="1" applyAlignment="1">
      <alignment horizontal="left" vertical="top" wrapText="1"/>
    </xf>
    <xf numFmtId="166" fontId="12" fillId="9" borderId="18" xfId="3" applyFont="1" applyFill="1" applyBorder="1" applyAlignment="1">
      <alignment horizontal="center"/>
    </xf>
    <xf numFmtId="0" fontId="12" fillId="3" borderId="18" xfId="2" applyNumberFormat="1" applyFont="1" applyFill="1" applyBorder="1" applyAlignment="1">
      <alignment horizontal="center"/>
    </xf>
    <xf numFmtId="0" fontId="12" fillId="5" borderId="18" xfId="2" applyNumberFormat="1" applyFont="1" applyFill="1" applyBorder="1" applyAlignment="1">
      <alignment horizontal="center"/>
    </xf>
    <xf numFmtId="167" fontId="12" fillId="9" borderId="19" xfId="2" quotePrefix="1" applyNumberFormat="1" applyFont="1" applyFill="1" applyBorder="1" applyAlignment="1">
      <alignment horizontal="center"/>
    </xf>
    <xf numFmtId="167" fontId="12" fillId="9" borderId="19" xfId="2" applyNumberFormat="1" applyFont="1" applyFill="1" applyBorder="1" applyAlignment="1">
      <alignment horizontal="center"/>
    </xf>
    <xf numFmtId="167" fontId="12" fillId="3" borderId="19" xfId="2" quotePrefix="1" applyNumberFormat="1" applyFont="1" applyFill="1" applyBorder="1" applyAlignment="1">
      <alignment horizontal="center"/>
    </xf>
    <xf numFmtId="167" fontId="12" fillId="5" borderId="19" xfId="2" quotePrefix="1" applyNumberFormat="1" applyFont="1" applyFill="1" applyBorder="1" applyAlignment="1">
      <alignment horizontal="center"/>
    </xf>
    <xf numFmtId="168" fontId="4" fillId="0" borderId="37" xfId="0" applyNumberFormat="1" applyFont="1" applyBorder="1" applyAlignment="1">
      <alignment horizontal="center"/>
    </xf>
    <xf numFmtId="168" fontId="4" fillId="0" borderId="25" xfId="0" applyNumberFormat="1" applyFont="1" applyBorder="1" applyAlignment="1">
      <alignment horizontal="center"/>
    </xf>
    <xf numFmtId="168" fontId="4" fillId="0" borderId="38" xfId="0" applyNumberFormat="1" applyFont="1" applyBorder="1" applyAlignment="1">
      <alignment horizontal="center"/>
    </xf>
    <xf numFmtId="168" fontId="4" fillId="0" borderId="36" xfId="0" applyNumberFormat="1" applyFont="1" applyBorder="1" applyAlignment="1">
      <alignment horizontal="center"/>
    </xf>
    <xf numFmtId="0" fontId="11" fillId="0" borderId="0" xfId="0" applyFont="1" applyAlignment="1">
      <alignment vertical="top" wrapText="1"/>
    </xf>
    <xf numFmtId="166" fontId="12" fillId="10" borderId="18" xfId="3" applyFont="1" applyFill="1" applyBorder="1" applyAlignment="1">
      <alignment horizontal="center"/>
    </xf>
    <xf numFmtId="0" fontId="19" fillId="6" borderId="2" xfId="0" applyFont="1" applyFill="1" applyBorder="1" applyAlignment="1">
      <alignment horizontal="center"/>
    </xf>
    <xf numFmtId="167" fontId="12" fillId="10" borderId="19" xfId="2" quotePrefix="1" applyNumberFormat="1" applyFont="1" applyFill="1" applyBorder="1" applyAlignment="1">
      <alignment horizontal="center"/>
    </xf>
    <xf numFmtId="167" fontId="12" fillId="10" borderId="19" xfId="2" applyNumberFormat="1" applyFont="1" applyFill="1" applyBorder="1" applyAlignment="1">
      <alignment horizontal="center"/>
    </xf>
    <xf numFmtId="0" fontId="19" fillId="6" borderId="2" xfId="0" applyFont="1" applyFill="1" applyBorder="1" applyAlignment="1">
      <alignment horizontal="center" vertical="center" wrapText="1"/>
    </xf>
  </cellXfs>
  <cellStyles count="6">
    <cellStyle name="Comma 10" xfId="2" xr:uid="{00000000-0005-0000-0000-000001000000}"/>
    <cellStyle name="Comma 2" xfId="5" xr:uid="{00000000-0005-0000-0000-000002000000}"/>
    <cellStyle name="Normal" xfId="0" builtinId="0"/>
    <cellStyle name="Normal 62" xfId="3" xr:uid="{00000000-0005-0000-0000-000004000000}"/>
    <cellStyle name="Percent" xfId="1" builtinId="5"/>
    <cellStyle name="Percent 10"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55790</xdr:colOff>
      <xdr:row>1</xdr:row>
      <xdr:rowOff>68036</xdr:rowOff>
    </xdr:from>
    <xdr:ext cx="695088" cy="583714"/>
    <xdr:pic>
      <xdr:nvPicPr>
        <xdr:cNvPr id="2" name="Picture 1">
          <a:extLst>
            <a:ext uri="{FF2B5EF4-FFF2-40B4-BE49-F238E27FC236}">
              <a16:creationId xmlns:a16="http://schemas.microsoft.com/office/drawing/2014/main" id="{90CF6130-10AE-420F-8AD9-EFC1A6D0E5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590" y="229961"/>
          <a:ext cx="695088" cy="58371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55790</xdr:colOff>
      <xdr:row>1</xdr:row>
      <xdr:rowOff>68036</xdr:rowOff>
    </xdr:from>
    <xdr:ext cx="695088" cy="583714"/>
    <xdr:pic>
      <xdr:nvPicPr>
        <xdr:cNvPr id="2" name="Picture 1">
          <a:extLst>
            <a:ext uri="{FF2B5EF4-FFF2-40B4-BE49-F238E27FC236}">
              <a16:creationId xmlns:a16="http://schemas.microsoft.com/office/drawing/2014/main" id="{FEE04B1C-514C-4E72-8F0F-ED9566603A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590" y="229961"/>
          <a:ext cx="695088" cy="583714"/>
        </a:xfrm>
        <a:prstGeom prst="rect">
          <a:avLst/>
        </a:prstGeom>
      </xdr:spPr>
    </xdr:pic>
    <xdr:clientData/>
  </xdr:oneCellAnchor>
  <xdr:oneCellAnchor>
    <xdr:from>
      <xdr:col>11</xdr:col>
      <xdr:colOff>57150</xdr:colOff>
      <xdr:row>23</xdr:row>
      <xdr:rowOff>0</xdr:rowOff>
    </xdr:from>
    <xdr:ext cx="289118" cy="239809"/>
    <xdr:sp macro="" textlink="">
      <xdr:nvSpPr>
        <xdr:cNvPr id="3" name="TextBox 2">
          <a:extLst>
            <a:ext uri="{FF2B5EF4-FFF2-40B4-BE49-F238E27FC236}">
              <a16:creationId xmlns:a16="http://schemas.microsoft.com/office/drawing/2014/main" id="{7DC468E9-BD5D-4A78-BC75-E122E7E921F7}"/>
            </a:ext>
          </a:extLst>
        </xdr:cNvPr>
        <xdr:cNvSpPr txBox="1"/>
      </xdr:nvSpPr>
      <xdr:spPr>
        <a:xfrm>
          <a:off x="8220075" y="3705225"/>
          <a:ext cx="28911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000" baseline="30000">
              <a:latin typeface="Arial" panose="020B0604020202020204" pitchFamily="34" charset="0"/>
              <a:cs typeface="Arial" panose="020B0604020202020204" pitchFamily="34" charset="0"/>
            </a:rPr>
            <a:t>(5)</a:t>
          </a:r>
        </a:p>
      </xdr:txBody>
    </xdr:sp>
    <xdr:clientData/>
  </xdr:oneCellAnchor>
  <xdr:twoCellAnchor>
    <xdr:from>
      <xdr:col>15</xdr:col>
      <xdr:colOff>266700</xdr:colOff>
      <xdr:row>18</xdr:row>
      <xdr:rowOff>76200</xdr:rowOff>
    </xdr:from>
    <xdr:to>
      <xdr:col>16</xdr:col>
      <xdr:colOff>95250</xdr:colOff>
      <xdr:row>22</xdr:row>
      <xdr:rowOff>0</xdr:rowOff>
    </xdr:to>
    <xdr:sp macro="" textlink="">
      <xdr:nvSpPr>
        <xdr:cNvPr id="4" name="Rectangle 3">
          <a:extLst>
            <a:ext uri="{FF2B5EF4-FFF2-40B4-BE49-F238E27FC236}">
              <a16:creationId xmlns:a16="http://schemas.microsoft.com/office/drawing/2014/main" id="{903F1B9B-9B6F-401C-A882-94A38058A4BC}"/>
            </a:ext>
          </a:extLst>
        </xdr:cNvPr>
        <xdr:cNvSpPr/>
      </xdr:nvSpPr>
      <xdr:spPr>
        <a:xfrm>
          <a:off x="7715250" y="3038475"/>
          <a:ext cx="685800" cy="504825"/>
        </a:xfrm>
        <a:prstGeom prst="rect">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L" sz="1100"/>
        </a:p>
      </xdr:txBody>
    </xdr:sp>
    <xdr:clientData/>
  </xdr:twoCellAnchor>
  <xdr:twoCellAnchor>
    <xdr:from>
      <xdr:col>12</xdr:col>
      <xdr:colOff>295274</xdr:colOff>
      <xdr:row>23</xdr:row>
      <xdr:rowOff>9525</xdr:rowOff>
    </xdr:from>
    <xdr:to>
      <xdr:col>13</xdr:col>
      <xdr:colOff>114300</xdr:colOff>
      <xdr:row>26</xdr:row>
      <xdr:rowOff>28575</xdr:rowOff>
    </xdr:to>
    <xdr:sp macro="" textlink="">
      <xdr:nvSpPr>
        <xdr:cNvPr id="5" name="Rectangle 4">
          <a:extLst>
            <a:ext uri="{FF2B5EF4-FFF2-40B4-BE49-F238E27FC236}">
              <a16:creationId xmlns:a16="http://schemas.microsoft.com/office/drawing/2014/main" id="{A36202A9-9E18-4C8F-B7BE-80F24EBD7829}"/>
            </a:ext>
          </a:extLst>
        </xdr:cNvPr>
        <xdr:cNvSpPr/>
      </xdr:nvSpPr>
      <xdr:spPr>
        <a:xfrm>
          <a:off x="6324599" y="3714750"/>
          <a:ext cx="676276" cy="504825"/>
        </a:xfrm>
        <a:prstGeom prst="rect">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L" sz="1100"/>
        </a:p>
      </xdr:txBody>
    </xdr:sp>
    <xdr:clientData/>
  </xdr:twoCellAnchor>
  <xdr:twoCellAnchor>
    <xdr:from>
      <xdr:col>13</xdr:col>
      <xdr:colOff>114301</xdr:colOff>
      <xdr:row>20</xdr:row>
      <xdr:rowOff>71437</xdr:rowOff>
    </xdr:from>
    <xdr:to>
      <xdr:col>15</xdr:col>
      <xdr:colOff>266701</xdr:colOff>
      <xdr:row>24</xdr:row>
      <xdr:rowOff>100012</xdr:rowOff>
    </xdr:to>
    <xdr:cxnSp macro="">
      <xdr:nvCxnSpPr>
        <xdr:cNvPr id="6" name="Connector: Elbow 5">
          <a:extLst>
            <a:ext uri="{FF2B5EF4-FFF2-40B4-BE49-F238E27FC236}">
              <a16:creationId xmlns:a16="http://schemas.microsoft.com/office/drawing/2014/main" id="{C86805FD-9CB9-4C4C-9835-1BC6E58733A0}"/>
            </a:ext>
          </a:extLst>
        </xdr:cNvPr>
        <xdr:cNvCxnSpPr>
          <a:stCxn id="4" idx="1"/>
          <a:endCxn id="5" idx="3"/>
        </xdr:cNvCxnSpPr>
      </xdr:nvCxnSpPr>
      <xdr:spPr>
        <a:xfrm rot="10800000" flipV="1">
          <a:off x="7000876" y="3290887"/>
          <a:ext cx="714375" cy="676275"/>
        </a:xfrm>
        <a:prstGeom prst="bentConnector3">
          <a:avLst>
            <a:gd name="adj1" fmla="val 50000"/>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55790</xdr:colOff>
      <xdr:row>1</xdr:row>
      <xdr:rowOff>68036</xdr:rowOff>
    </xdr:from>
    <xdr:ext cx="695088" cy="583714"/>
    <xdr:pic>
      <xdr:nvPicPr>
        <xdr:cNvPr id="2" name="Picture 1">
          <a:extLst>
            <a:ext uri="{FF2B5EF4-FFF2-40B4-BE49-F238E27FC236}">
              <a16:creationId xmlns:a16="http://schemas.microsoft.com/office/drawing/2014/main" id="{569ACE86-F123-4CEF-8DD9-4BDBDADAFF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590" y="229961"/>
          <a:ext cx="695088" cy="583714"/>
        </a:xfrm>
        <a:prstGeom prst="rect">
          <a:avLst/>
        </a:prstGeom>
      </xdr:spPr>
    </xdr:pic>
    <xdr:clientData/>
  </xdr:oneCellAnchor>
  <xdr:oneCellAnchor>
    <xdr:from>
      <xdr:col>16</xdr:col>
      <xdr:colOff>57150</xdr:colOff>
      <xdr:row>23</xdr:row>
      <xdr:rowOff>0</xdr:rowOff>
    </xdr:from>
    <xdr:ext cx="289118" cy="239809"/>
    <xdr:sp macro="" textlink="">
      <xdr:nvSpPr>
        <xdr:cNvPr id="8" name="TextBox 7">
          <a:extLst>
            <a:ext uri="{FF2B5EF4-FFF2-40B4-BE49-F238E27FC236}">
              <a16:creationId xmlns:a16="http://schemas.microsoft.com/office/drawing/2014/main" id="{BA857C5D-7FD4-4080-8BEA-0409187B9384}"/>
            </a:ext>
          </a:extLst>
        </xdr:cNvPr>
        <xdr:cNvSpPr txBox="1"/>
      </xdr:nvSpPr>
      <xdr:spPr>
        <a:xfrm>
          <a:off x="8324850" y="3705225"/>
          <a:ext cx="28911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1000" baseline="30000">
              <a:latin typeface="Arial" panose="020B0604020202020204" pitchFamily="34" charset="0"/>
              <a:cs typeface="Arial" panose="020B0604020202020204" pitchFamily="34" charset="0"/>
            </a:rPr>
            <a:t>(5)</a:t>
          </a:r>
        </a:p>
      </xdr:txBody>
    </xdr:sp>
    <xdr:clientData/>
  </xdr:oneCellAnchor>
  <xdr:twoCellAnchor>
    <xdr:from>
      <xdr:col>4</xdr:col>
      <xdr:colOff>1</xdr:colOff>
      <xdr:row>18</xdr:row>
      <xdr:rowOff>85725</xdr:rowOff>
    </xdr:from>
    <xdr:to>
      <xdr:col>5</xdr:col>
      <xdr:colOff>57151</xdr:colOff>
      <xdr:row>22</xdr:row>
      <xdr:rowOff>9525</xdr:rowOff>
    </xdr:to>
    <xdr:sp macro="" textlink="">
      <xdr:nvSpPr>
        <xdr:cNvPr id="9" name="Rectangle 8">
          <a:extLst>
            <a:ext uri="{FF2B5EF4-FFF2-40B4-BE49-F238E27FC236}">
              <a16:creationId xmlns:a16="http://schemas.microsoft.com/office/drawing/2014/main" id="{6452B5D0-BBCA-1203-9313-CE91C1740DD4}"/>
            </a:ext>
          </a:extLst>
        </xdr:cNvPr>
        <xdr:cNvSpPr/>
      </xdr:nvSpPr>
      <xdr:spPr>
        <a:xfrm>
          <a:off x="2543176" y="3048000"/>
          <a:ext cx="914400" cy="504825"/>
        </a:xfrm>
        <a:prstGeom prst="rect">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L" sz="1100"/>
        </a:p>
      </xdr:txBody>
    </xdr:sp>
    <xdr:clientData/>
  </xdr:twoCellAnchor>
  <xdr:twoCellAnchor>
    <xdr:from>
      <xdr:col>9</xdr:col>
      <xdr:colOff>9526</xdr:colOff>
      <xdr:row>23</xdr:row>
      <xdr:rowOff>0</xdr:rowOff>
    </xdr:from>
    <xdr:to>
      <xdr:col>10</xdr:col>
      <xdr:colOff>66676</xdr:colOff>
      <xdr:row>26</xdr:row>
      <xdr:rowOff>19050</xdr:rowOff>
    </xdr:to>
    <xdr:sp macro="" textlink="">
      <xdr:nvSpPr>
        <xdr:cNvPr id="10" name="Rectangle 9">
          <a:extLst>
            <a:ext uri="{FF2B5EF4-FFF2-40B4-BE49-F238E27FC236}">
              <a16:creationId xmlns:a16="http://schemas.microsoft.com/office/drawing/2014/main" id="{1DA35171-2413-1215-60AB-9ABD4C65409F}"/>
            </a:ext>
          </a:extLst>
        </xdr:cNvPr>
        <xdr:cNvSpPr/>
      </xdr:nvSpPr>
      <xdr:spPr>
        <a:xfrm>
          <a:off x="4819651" y="3705225"/>
          <a:ext cx="914400" cy="504825"/>
        </a:xfrm>
        <a:prstGeom prst="rect">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NL" sz="1100"/>
        </a:p>
      </xdr:txBody>
    </xdr:sp>
    <xdr:clientData/>
  </xdr:twoCellAnchor>
  <xdr:twoCellAnchor>
    <xdr:from>
      <xdr:col>5</xdr:col>
      <xdr:colOff>57151</xdr:colOff>
      <xdr:row>20</xdr:row>
      <xdr:rowOff>80963</xdr:rowOff>
    </xdr:from>
    <xdr:to>
      <xdr:col>9</xdr:col>
      <xdr:colOff>0</xdr:colOff>
      <xdr:row>25</xdr:row>
      <xdr:rowOff>0</xdr:rowOff>
    </xdr:to>
    <xdr:cxnSp macro="">
      <xdr:nvCxnSpPr>
        <xdr:cNvPr id="12" name="Connector: Elbow 11">
          <a:extLst>
            <a:ext uri="{FF2B5EF4-FFF2-40B4-BE49-F238E27FC236}">
              <a16:creationId xmlns:a16="http://schemas.microsoft.com/office/drawing/2014/main" id="{2DA14542-E9D2-2EC6-161E-0070FCD390FC}"/>
            </a:ext>
          </a:extLst>
        </xdr:cNvPr>
        <xdr:cNvCxnSpPr>
          <a:stCxn id="9" idx="3"/>
        </xdr:cNvCxnSpPr>
      </xdr:nvCxnSpPr>
      <xdr:spPr>
        <a:xfrm>
          <a:off x="3457576" y="3300413"/>
          <a:ext cx="1352549" cy="728662"/>
        </a:xfrm>
        <a:prstGeom prst="bentConnector3">
          <a:avLst/>
        </a:prstGeom>
        <a:noFill/>
        <a:ln w="25400">
          <a:solidFill>
            <a:schemeClr val="accent3"/>
          </a:solidFill>
          <a:prstDash val="dash"/>
        </a:ln>
      </xdr:spPr>
      <xdr:style>
        <a:lnRef idx="2">
          <a:schemeClr val="accent1">
            <a:shade val="15000"/>
          </a:schemeClr>
        </a:lnRef>
        <a:fillRef idx="1">
          <a:schemeClr val="accent1"/>
        </a:fillRef>
        <a:effectRef idx="0">
          <a:schemeClr val="accent1"/>
        </a:effectRef>
        <a:fontRef idx="minor">
          <a:schemeClr val="lt1"/>
        </a:fontRef>
      </xdr:style>
    </xdr:cxn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55790</xdr:colOff>
      <xdr:row>1</xdr:row>
      <xdr:rowOff>68036</xdr:rowOff>
    </xdr:from>
    <xdr:ext cx="695088" cy="583714"/>
    <xdr:pic>
      <xdr:nvPicPr>
        <xdr:cNvPr id="2" name="Picture 1">
          <a:extLst>
            <a:ext uri="{FF2B5EF4-FFF2-40B4-BE49-F238E27FC236}">
              <a16:creationId xmlns:a16="http://schemas.microsoft.com/office/drawing/2014/main" id="{5F94EDF3-FB69-4347-BBCF-84B00F1D7F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590" y="229961"/>
          <a:ext cx="695088" cy="58371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55790</xdr:colOff>
      <xdr:row>1</xdr:row>
      <xdr:rowOff>68036</xdr:rowOff>
    </xdr:from>
    <xdr:ext cx="695088" cy="583714"/>
    <xdr:pic>
      <xdr:nvPicPr>
        <xdr:cNvPr id="2" name="Picture 1">
          <a:extLst>
            <a:ext uri="{FF2B5EF4-FFF2-40B4-BE49-F238E27FC236}">
              <a16:creationId xmlns:a16="http://schemas.microsoft.com/office/drawing/2014/main" id="{89CFADC2-871E-45B9-BAD9-0DC61F25A1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2361" y="225879"/>
          <a:ext cx="695088" cy="583714"/>
        </a:xfrm>
        <a:prstGeom prst="rect">
          <a:avLst/>
        </a:prstGeom>
      </xdr:spPr>
    </xdr:pic>
    <xdr:clientData/>
  </xdr:oneCellAnchor>
</xdr:wsDr>
</file>

<file path=xl/theme/theme1.xml><?xml version="1.0" encoding="utf-8"?>
<a:theme xmlns:a="http://schemas.openxmlformats.org/drawingml/2006/main" name="Office Theme">
  <a:themeElements>
    <a:clrScheme name="Brait">
      <a:dk1>
        <a:srgbClr val="37424A"/>
      </a:dk1>
      <a:lt1>
        <a:srgbClr val="FFFFFF"/>
      </a:lt1>
      <a:dk2>
        <a:srgbClr val="00618A"/>
      </a:dk2>
      <a:lt2>
        <a:srgbClr val="FFFFFF"/>
      </a:lt2>
      <a:accent1>
        <a:srgbClr val="00618A"/>
      </a:accent1>
      <a:accent2>
        <a:srgbClr val="5B9622"/>
      </a:accent2>
      <a:accent3>
        <a:srgbClr val="772432"/>
      </a:accent3>
      <a:accent4>
        <a:srgbClr val="37424A"/>
      </a:accent4>
      <a:accent5>
        <a:srgbClr val="80B0C5"/>
      </a:accent5>
      <a:accent6>
        <a:srgbClr val="ADCB91"/>
      </a:accent6>
      <a:hlink>
        <a:srgbClr val="772432"/>
      </a:hlink>
      <a:folHlink>
        <a:srgbClr val="80B0C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9B7A-0C2E-45EF-B5D3-D6686A183B4B}">
  <sheetPr>
    <pageSetUpPr fitToPage="1"/>
  </sheetPr>
  <dimension ref="B3:O38"/>
  <sheetViews>
    <sheetView showGridLines="0" tabSelected="1" zoomScaleNormal="100" workbookViewId="0"/>
  </sheetViews>
  <sheetFormatPr defaultColWidth="8.81640625" defaultRowHeight="12.5" x14ac:dyDescent="0.25"/>
  <cols>
    <col min="1" max="1" width="4.54296875" style="6" customWidth="1"/>
    <col min="2" max="2" width="2.7265625" style="6" customWidth="1"/>
    <col min="3" max="3" width="30.26953125" style="6" customWidth="1"/>
    <col min="4" max="4" width="1.7265625" style="6" customWidth="1"/>
    <col min="5" max="5" width="10.54296875" style="6" customWidth="1"/>
    <col min="6" max="6" width="8.453125" style="6" customWidth="1"/>
    <col min="7" max="7" width="1.26953125" style="6" customWidth="1"/>
    <col min="8" max="8" width="10.54296875" style="6" customWidth="1"/>
    <col min="9" max="9" width="8.453125" style="6" customWidth="1"/>
    <col min="10" max="10" width="1.26953125" style="6" customWidth="1"/>
    <col min="11" max="11" width="10.54296875" style="6" customWidth="1"/>
    <col min="12" max="12" width="8.453125" style="6" customWidth="1"/>
    <col min="13" max="13" width="1.26953125" style="6" customWidth="1"/>
    <col min="14" max="14" width="10" style="6" customWidth="1"/>
    <col min="15" max="15" width="1.26953125" style="6" customWidth="1"/>
    <col min="16" max="16384" width="8.81640625" style="6"/>
  </cols>
  <sheetData>
    <row r="3" spans="2:15" ht="16.149999999999999" customHeight="1" x14ac:dyDescent="0.3">
      <c r="J3" s="55"/>
      <c r="L3" s="55"/>
      <c r="M3" s="55"/>
      <c r="N3" s="5" t="s">
        <v>60</v>
      </c>
      <c r="O3" s="55"/>
    </row>
    <row r="4" spans="2:15" ht="13" x14ac:dyDescent="0.3">
      <c r="B4" s="1"/>
    </row>
    <row r="5" spans="2:15" ht="13" x14ac:dyDescent="0.3">
      <c r="B5" s="1"/>
    </row>
    <row r="7" spans="2:15" ht="13.5" thickBot="1" x14ac:dyDescent="0.35">
      <c r="E7" s="174" t="s">
        <v>1</v>
      </c>
      <c r="F7" s="174"/>
      <c r="H7" s="173" t="s">
        <v>2</v>
      </c>
      <c r="I7" s="173"/>
      <c r="K7" s="172" t="s">
        <v>1</v>
      </c>
      <c r="L7" s="172"/>
      <c r="N7" s="85" t="s">
        <v>4</v>
      </c>
    </row>
    <row r="8" spans="2:15" ht="13" x14ac:dyDescent="0.3">
      <c r="B8" s="1"/>
      <c r="C8" s="2"/>
      <c r="E8" s="178" t="s">
        <v>57</v>
      </c>
      <c r="F8" s="178"/>
      <c r="H8" s="177" t="s">
        <v>61</v>
      </c>
      <c r="I8" s="177"/>
      <c r="K8" s="175" t="s">
        <v>62</v>
      </c>
      <c r="L8" s="176"/>
      <c r="N8" s="86" t="s">
        <v>65</v>
      </c>
    </row>
    <row r="9" spans="2:15" s="108" customFormat="1" ht="15.75" customHeight="1" x14ac:dyDescent="0.35">
      <c r="B9" s="106"/>
      <c r="C9" s="107"/>
      <c r="E9" s="114" t="s">
        <v>9</v>
      </c>
      <c r="F9" s="112"/>
      <c r="H9" s="113" t="s">
        <v>9</v>
      </c>
      <c r="I9" s="111"/>
      <c r="K9" s="109" t="s">
        <v>9</v>
      </c>
      <c r="L9" s="110"/>
      <c r="N9" s="115" t="s">
        <v>9</v>
      </c>
    </row>
    <row r="10" spans="2:15" ht="13" x14ac:dyDescent="0.3">
      <c r="B10" s="1" t="s">
        <v>10</v>
      </c>
      <c r="C10" s="1"/>
      <c r="E10" s="7">
        <f>ROUNDDOWN(SUM(E11:E15),-3)</f>
        <v>16083000</v>
      </c>
      <c r="F10" s="99">
        <f>SUM(F11:F15)</f>
        <v>0.97100000000000009</v>
      </c>
      <c r="H10" s="17">
        <f>ROUNDUP(SUM(H11:H15),-3)</f>
        <v>16895000</v>
      </c>
      <c r="I10" s="43">
        <f>SUM(I11:I15)</f>
        <v>0.99299999999999999</v>
      </c>
      <c r="K10" s="57">
        <f>ROUNDUP(SUM(K11:K15),-3)</f>
        <v>16405000</v>
      </c>
      <c r="L10" s="77">
        <f>SUM(L11:L15)</f>
        <v>0.94400000000000017</v>
      </c>
      <c r="N10" s="8"/>
    </row>
    <row r="11" spans="2:15" ht="15.75" customHeight="1" x14ac:dyDescent="0.3">
      <c r="B11" s="1"/>
      <c r="C11" s="23" t="s">
        <v>12</v>
      </c>
      <c r="D11" s="24"/>
      <c r="E11" s="26">
        <v>10209000</v>
      </c>
      <c r="F11" s="125">
        <f>ROUND(E11/E19,3)</f>
        <v>0.61599999999999999</v>
      </c>
      <c r="G11" s="24"/>
      <c r="H11" s="25">
        <v>10064000</v>
      </c>
      <c r="I11" s="44">
        <f>ROUND(H11/H19,3)</f>
        <v>0.59199999999999997</v>
      </c>
      <c r="J11" s="24"/>
      <c r="K11" s="58">
        <v>9393000</v>
      </c>
      <c r="L11" s="78">
        <f>ROUND(K11/K19,3)</f>
        <v>0.54</v>
      </c>
      <c r="M11" s="24"/>
      <c r="N11" s="167">
        <f>K11-E11</f>
        <v>-816000</v>
      </c>
    </row>
    <row r="12" spans="2:15" ht="15.75" customHeight="1" x14ac:dyDescent="0.3">
      <c r="B12" s="1"/>
      <c r="C12" s="123" t="s">
        <v>63</v>
      </c>
      <c r="E12" s="9">
        <v>5382000</v>
      </c>
      <c r="F12" s="103">
        <f>ROUND(E12/E19,3)</f>
        <v>0.32500000000000001</v>
      </c>
      <c r="H12" s="15">
        <v>6350000</v>
      </c>
      <c r="I12" s="45">
        <f>ROUND(H12/H19,3)</f>
        <v>0.373</v>
      </c>
      <c r="K12" s="50">
        <v>5455000</v>
      </c>
      <c r="L12" s="79">
        <f>ROUND(K12/K19,3)</f>
        <v>0.314</v>
      </c>
      <c r="N12" s="168">
        <f t="shared" ref="N12:N15" si="0">K12-E12</f>
        <v>73000</v>
      </c>
    </row>
    <row r="13" spans="2:15" ht="15.75" customHeight="1" x14ac:dyDescent="0.3">
      <c r="B13" s="1"/>
      <c r="C13" s="123" t="s">
        <v>64</v>
      </c>
      <c r="E13" s="9"/>
      <c r="F13" s="103"/>
      <c r="H13" s="15"/>
      <c r="I13" s="45"/>
      <c r="K13" s="50">
        <v>827000</v>
      </c>
      <c r="L13" s="79">
        <f>ROUND(K13/K19,3)</f>
        <v>4.8000000000000001E-2</v>
      </c>
      <c r="N13" s="168">
        <f t="shared" si="0"/>
        <v>827000</v>
      </c>
    </row>
    <row r="14" spans="2:15" ht="15.75" customHeight="1" x14ac:dyDescent="0.3">
      <c r="B14" s="1"/>
      <c r="C14" s="27" t="s">
        <v>13</v>
      </c>
      <c r="E14" s="9">
        <v>485000</v>
      </c>
      <c r="F14" s="103">
        <f>ROUND(E14/E19,3)</f>
        <v>2.9000000000000001E-2</v>
      </c>
      <c r="H14" s="15">
        <v>474000</v>
      </c>
      <c r="I14" s="45">
        <f>ROUND(H14/H19,3)</f>
        <v>2.8000000000000001E-2</v>
      </c>
      <c r="K14" s="50">
        <v>723000</v>
      </c>
      <c r="L14" s="79">
        <f>ROUND(K14/K19,3)</f>
        <v>4.2000000000000003E-2</v>
      </c>
      <c r="N14" s="168">
        <f t="shared" si="0"/>
        <v>238000</v>
      </c>
    </row>
    <row r="15" spans="2:15" ht="15.75" customHeight="1" x14ac:dyDescent="0.3">
      <c r="B15" s="1"/>
      <c r="C15" s="28" t="s">
        <v>14</v>
      </c>
      <c r="D15" s="30"/>
      <c r="E15" s="32">
        <v>7000</v>
      </c>
      <c r="F15" s="126">
        <f>ROUNDUP(E15/E19,3)</f>
        <v>1E-3</v>
      </c>
      <c r="G15" s="30"/>
      <c r="H15" s="31">
        <v>7000</v>
      </c>
      <c r="I15" s="46">
        <f>ROUND(H15/H19,3)</f>
        <v>0</v>
      </c>
      <c r="J15" s="30"/>
      <c r="K15" s="59">
        <v>7000</v>
      </c>
      <c r="L15" s="80">
        <f>ROUND(K15/K19,3)</f>
        <v>0</v>
      </c>
      <c r="M15" s="30"/>
      <c r="N15" s="169">
        <f t="shared" si="0"/>
        <v>0</v>
      </c>
      <c r="O15" s="14"/>
    </row>
    <row r="16" spans="2:15" ht="7.5" customHeight="1" x14ac:dyDescent="0.3">
      <c r="B16" s="1"/>
      <c r="C16" s="2"/>
      <c r="D16" s="14"/>
      <c r="E16" s="9"/>
      <c r="F16" s="103"/>
      <c r="G16" s="14"/>
      <c r="H16" s="15"/>
      <c r="I16" s="45"/>
      <c r="J16" s="14"/>
      <c r="K16" s="50"/>
      <c r="L16" s="79"/>
      <c r="M16" s="14"/>
      <c r="N16" s="10"/>
      <c r="O16" s="14"/>
    </row>
    <row r="17" spans="2:15" ht="13" x14ac:dyDescent="0.3">
      <c r="B17" s="1" t="s">
        <v>46</v>
      </c>
      <c r="C17" s="1"/>
      <c r="D17" s="42"/>
      <c r="E17" s="7">
        <v>483000</v>
      </c>
      <c r="F17" s="99">
        <f>ROUNDDOWN(E17/E19,3)</f>
        <v>2.9000000000000001E-2</v>
      </c>
      <c r="G17" s="42"/>
      <c r="H17" s="17">
        <v>119000</v>
      </c>
      <c r="I17" s="43">
        <f>ROUND(H17/H19,3)</f>
        <v>7.0000000000000001E-3</v>
      </c>
      <c r="J17" s="42"/>
      <c r="K17" s="57">
        <v>979000</v>
      </c>
      <c r="L17" s="77">
        <f>ROUND(K17/K19,3)</f>
        <v>5.6000000000000001E-2</v>
      </c>
      <c r="M17" s="42"/>
      <c r="N17" s="8">
        <f>K17-E17</f>
        <v>496000</v>
      </c>
      <c r="O17" s="42"/>
    </row>
    <row r="18" spans="2:15" ht="7.5" customHeight="1" x14ac:dyDescent="0.25">
      <c r="B18" s="2"/>
      <c r="C18" s="2"/>
      <c r="E18" s="9"/>
      <c r="F18" s="103"/>
      <c r="H18" s="15"/>
      <c r="I18" s="45"/>
      <c r="K18" s="50"/>
      <c r="L18" s="81"/>
      <c r="N18" s="10"/>
    </row>
    <row r="19" spans="2:15" ht="13.5" thickBot="1" x14ac:dyDescent="0.35">
      <c r="B19" s="22" t="s">
        <v>17</v>
      </c>
      <c r="C19" s="22"/>
      <c r="D19" s="19"/>
      <c r="E19" s="11">
        <f>E10+E17</f>
        <v>16566000</v>
      </c>
      <c r="F19" s="104">
        <f>ROUND(E19/E19,3)</f>
        <v>1</v>
      </c>
      <c r="G19" s="19"/>
      <c r="H19" s="20">
        <f>H10+H17</f>
        <v>17014000</v>
      </c>
      <c r="I19" s="48">
        <f>ROUND(H19/H19,3)</f>
        <v>1</v>
      </c>
      <c r="J19" s="19"/>
      <c r="K19" s="60">
        <f>K10+K17</f>
        <v>17384000</v>
      </c>
      <c r="L19" s="82">
        <f>ROUND(K19/K19,3)</f>
        <v>1</v>
      </c>
      <c r="M19" s="19"/>
      <c r="N19" s="12">
        <f>K19-E19</f>
        <v>818000</v>
      </c>
    </row>
    <row r="20" spans="2:15" ht="7.5" customHeight="1" x14ac:dyDescent="0.25">
      <c r="B20" s="2"/>
      <c r="C20" s="2"/>
      <c r="E20" s="9"/>
      <c r="F20" s="94"/>
      <c r="H20" s="15"/>
      <c r="I20" s="75"/>
      <c r="K20" s="50"/>
      <c r="L20" s="61"/>
      <c r="N20" s="10"/>
    </row>
    <row r="21" spans="2:15" x14ac:dyDescent="0.25">
      <c r="B21" s="2"/>
      <c r="C21" s="23" t="s">
        <v>36</v>
      </c>
      <c r="D21" s="24"/>
      <c r="E21" s="26">
        <v>0</v>
      </c>
      <c r="F21" s="150"/>
      <c r="G21" s="24"/>
      <c r="H21" s="25">
        <v>0</v>
      </c>
      <c r="I21" s="88"/>
      <c r="J21" s="24"/>
      <c r="K21" s="58">
        <v>0</v>
      </c>
      <c r="L21" s="62"/>
      <c r="M21" s="24"/>
      <c r="N21" s="167">
        <f t="shared" ref="N21:N23" si="1">K21-E21</f>
        <v>0</v>
      </c>
    </row>
    <row r="22" spans="2:15" x14ac:dyDescent="0.25">
      <c r="B22" s="2"/>
      <c r="C22" s="27" t="s">
        <v>37</v>
      </c>
      <c r="E22" s="9">
        <v>-2873000</v>
      </c>
      <c r="F22" s="94"/>
      <c r="H22" s="15">
        <v>-2693000</v>
      </c>
      <c r="I22" s="75"/>
      <c r="K22" s="50">
        <v>-2713000</v>
      </c>
      <c r="L22" s="64"/>
      <c r="N22" s="168">
        <f t="shared" si="1"/>
        <v>160000</v>
      </c>
    </row>
    <row r="23" spans="2:15" x14ac:dyDescent="0.25">
      <c r="B23" s="2"/>
      <c r="C23" s="28" t="s">
        <v>20</v>
      </c>
      <c r="D23" s="29"/>
      <c r="E23" s="32">
        <v>-1701000</v>
      </c>
      <c r="F23" s="151"/>
      <c r="G23" s="29"/>
      <c r="H23" s="31">
        <v>-1770000</v>
      </c>
      <c r="I23" s="89"/>
      <c r="J23" s="29"/>
      <c r="K23" s="59">
        <v>-1846000</v>
      </c>
      <c r="L23" s="63"/>
      <c r="M23" s="29"/>
      <c r="N23" s="169">
        <f t="shared" si="1"/>
        <v>-145000</v>
      </c>
    </row>
    <row r="24" spans="2:15" ht="13" x14ac:dyDescent="0.3">
      <c r="B24" s="1" t="s">
        <v>21</v>
      </c>
      <c r="C24" s="2"/>
      <c r="E24" s="7">
        <f>SUM(E21:E23)</f>
        <v>-4574000</v>
      </c>
      <c r="F24" s="94"/>
      <c r="H24" s="17">
        <f>SUM(H21:H23)</f>
        <v>-4463000</v>
      </c>
      <c r="I24" s="75"/>
      <c r="K24" s="57">
        <f>SUM(K21:K23)</f>
        <v>-4559000</v>
      </c>
      <c r="L24" s="64"/>
      <c r="N24" s="8"/>
    </row>
    <row r="25" spans="2:15" x14ac:dyDescent="0.25">
      <c r="B25" s="2"/>
      <c r="C25" s="51" t="s">
        <v>31</v>
      </c>
      <c r="D25" s="52"/>
      <c r="E25" s="54">
        <v>-175000</v>
      </c>
      <c r="F25" s="97"/>
      <c r="G25" s="52"/>
      <c r="H25" s="53">
        <v>-170000</v>
      </c>
      <c r="I25" s="90"/>
      <c r="J25" s="91"/>
      <c r="K25" s="65">
        <v>-180000</v>
      </c>
      <c r="L25" s="66"/>
      <c r="M25" s="91"/>
      <c r="N25" s="170">
        <f>K25-E25</f>
        <v>-5000</v>
      </c>
    </row>
    <row r="26" spans="2:15" ht="13" x14ac:dyDescent="0.3">
      <c r="B26" s="1" t="s">
        <v>23</v>
      </c>
      <c r="C26" s="2"/>
      <c r="E26" s="7">
        <f>SUM(E25)</f>
        <v>-175000</v>
      </c>
      <c r="F26" s="94"/>
      <c r="H26" s="17">
        <f>SUM(H25)</f>
        <v>-170000</v>
      </c>
      <c r="I26" s="75"/>
      <c r="K26" s="57">
        <f>SUM(K25)</f>
        <v>-180000</v>
      </c>
      <c r="L26" s="64"/>
      <c r="N26" s="8"/>
    </row>
    <row r="27" spans="2:15" ht="7.15" customHeight="1" x14ac:dyDescent="0.25">
      <c r="B27" s="2"/>
      <c r="C27" s="2"/>
      <c r="E27" s="9"/>
      <c r="F27" s="94"/>
      <c r="H27" s="15"/>
      <c r="I27" s="75"/>
      <c r="K27" s="50"/>
      <c r="L27" s="64"/>
      <c r="N27" s="10"/>
    </row>
    <row r="28" spans="2:15" ht="13.5" thickBot="1" x14ac:dyDescent="0.35">
      <c r="B28" s="22" t="s">
        <v>24</v>
      </c>
      <c r="C28" s="21"/>
      <c r="D28" s="19"/>
      <c r="E28" s="11">
        <f>E24+E26</f>
        <v>-4749000</v>
      </c>
      <c r="F28" s="98"/>
      <c r="G28" s="19"/>
      <c r="H28" s="20">
        <f>H24+H26</f>
        <v>-4633000</v>
      </c>
      <c r="I28" s="76"/>
      <c r="J28" s="19"/>
      <c r="K28" s="60">
        <f>K24+K26</f>
        <v>-4739000</v>
      </c>
      <c r="L28" s="67"/>
      <c r="M28" s="19"/>
      <c r="N28" s="12">
        <f>K28-E28</f>
        <v>10000</v>
      </c>
    </row>
    <row r="29" spans="2:15" ht="7.5" customHeight="1" x14ac:dyDescent="0.3">
      <c r="B29" s="1"/>
      <c r="C29" s="2"/>
      <c r="E29" s="3"/>
      <c r="F29" s="94"/>
      <c r="H29" s="18"/>
      <c r="I29" s="75"/>
      <c r="K29" s="68"/>
      <c r="L29" s="61"/>
      <c r="N29" s="4"/>
    </row>
    <row r="30" spans="2:15" ht="13" x14ac:dyDescent="0.3">
      <c r="B30" s="1" t="s">
        <v>34</v>
      </c>
      <c r="E30" s="7">
        <f>E19+E28</f>
        <v>11817000</v>
      </c>
      <c r="F30" s="94"/>
      <c r="H30" s="17">
        <f>H19+H28</f>
        <v>12381000</v>
      </c>
      <c r="I30" s="75"/>
      <c r="K30" s="57">
        <f>K19+K28</f>
        <v>12645000</v>
      </c>
      <c r="L30" s="64"/>
      <c r="N30" s="8">
        <f>K30-E30</f>
        <v>828000</v>
      </c>
    </row>
    <row r="31" spans="2:15" ht="7.5" customHeight="1" x14ac:dyDescent="0.25">
      <c r="B31" s="2"/>
      <c r="C31" s="2"/>
      <c r="E31" s="9"/>
      <c r="F31" s="94"/>
      <c r="H31" s="15"/>
      <c r="I31" s="75"/>
      <c r="K31" s="50"/>
      <c r="L31" s="64"/>
      <c r="N31" s="10"/>
    </row>
    <row r="32" spans="2:15" ht="13" x14ac:dyDescent="0.3">
      <c r="B32" s="1" t="s">
        <v>33</v>
      </c>
      <c r="C32" s="1"/>
      <c r="E32" s="13">
        <v>3862672.8813559324</v>
      </c>
      <c r="F32" s="94"/>
      <c r="H32" s="16">
        <v>3862672.8813559324</v>
      </c>
      <c r="I32" s="75"/>
      <c r="K32" s="69">
        <v>3862672.8813559324</v>
      </c>
      <c r="L32" s="64"/>
      <c r="N32" s="87">
        <f>K32-E32</f>
        <v>0</v>
      </c>
    </row>
    <row r="33" spans="2:15" ht="7.5" customHeight="1" x14ac:dyDescent="0.25">
      <c r="B33" s="2"/>
      <c r="C33" s="2"/>
      <c r="E33" s="9"/>
      <c r="F33" s="94"/>
      <c r="H33" s="15"/>
      <c r="I33" s="75"/>
      <c r="K33" s="50"/>
      <c r="L33" s="64"/>
      <c r="N33" s="10"/>
    </row>
    <row r="34" spans="2:15" ht="13" x14ac:dyDescent="0.3">
      <c r="B34" s="1" t="s">
        <v>66</v>
      </c>
      <c r="C34" s="2"/>
      <c r="E34" s="72">
        <f>ROUND(E30/E32,2)</f>
        <v>3.06</v>
      </c>
      <c r="F34" s="83"/>
      <c r="H34" s="73">
        <f>ROUND(H30/H32,2)</f>
        <v>3.21</v>
      </c>
      <c r="I34" s="74"/>
      <c r="K34" s="70">
        <f>ROUND(K30/K32,2)</f>
        <v>3.27</v>
      </c>
      <c r="L34" s="71"/>
      <c r="N34" s="116">
        <f>K34-E34</f>
        <v>0.20999999999999996</v>
      </c>
    </row>
    <row r="35" spans="2:15" ht="6.75" customHeight="1" x14ac:dyDescent="0.25"/>
    <row r="36" spans="2:15" ht="15" x14ac:dyDescent="0.3">
      <c r="B36" s="1" t="s">
        <v>67</v>
      </c>
      <c r="C36" s="2"/>
      <c r="E36" s="72">
        <v>2.82</v>
      </c>
      <c r="F36" s="83"/>
      <c r="H36" s="73">
        <v>3.01</v>
      </c>
      <c r="I36" s="74"/>
      <c r="K36" s="70">
        <v>3.13</v>
      </c>
      <c r="L36" s="71"/>
      <c r="N36" s="116">
        <f>K36-E36</f>
        <v>0.31000000000000005</v>
      </c>
    </row>
    <row r="37" spans="2:15" ht="6.75" customHeight="1" x14ac:dyDescent="0.25"/>
    <row r="38" spans="2:15" ht="43.5" customHeight="1" x14ac:dyDescent="0.25">
      <c r="B38" s="171" t="s">
        <v>68</v>
      </c>
      <c r="C38" s="171"/>
      <c r="D38" s="171"/>
      <c r="E38" s="171"/>
      <c r="F38" s="171"/>
      <c r="G38" s="171"/>
      <c r="H38" s="171"/>
      <c r="I38" s="171"/>
      <c r="J38" s="171"/>
      <c r="K38" s="171"/>
      <c r="L38" s="171"/>
      <c r="M38" s="171"/>
      <c r="N38" s="171"/>
      <c r="O38" s="56"/>
    </row>
  </sheetData>
  <mergeCells count="7">
    <mergeCell ref="B38:N38"/>
    <mergeCell ref="E7:F7"/>
    <mergeCell ref="H7:I7"/>
    <mergeCell ref="K7:L7"/>
    <mergeCell ref="E8:F8"/>
    <mergeCell ref="H8:I8"/>
    <mergeCell ref="K8:L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D86B7-759B-47F2-AAD0-75DBFFE8C8A5}">
  <sheetPr>
    <pageSetUpPr fitToPage="1"/>
  </sheetPr>
  <dimension ref="B3:W41"/>
  <sheetViews>
    <sheetView showGridLines="0" zoomScaleNormal="100" workbookViewId="0">
      <selection activeCell="E38" sqref="E38"/>
    </sheetView>
  </sheetViews>
  <sheetFormatPr defaultColWidth="8.81640625" defaultRowHeight="12.5" x14ac:dyDescent="0.25"/>
  <cols>
    <col min="1" max="1" width="4.54296875" style="6" customWidth="1"/>
    <col min="2" max="2" width="3.1796875" style="6" customWidth="1"/>
    <col min="3" max="3" width="29.1796875" style="6" customWidth="1"/>
    <col min="4" max="4" width="1.7265625" style="6" customWidth="1"/>
    <col min="5" max="5" width="12.81640625" style="6" customWidth="1"/>
    <col min="6" max="6" width="8.453125" style="6" customWidth="1"/>
    <col min="7" max="8" width="2" style="6" customWidth="1"/>
    <col min="9" max="10" width="11.26953125" style="6" customWidth="1"/>
    <col min="11" max="12" width="2" style="6" customWidth="1"/>
    <col min="13" max="13" width="12.81640625" style="6" customWidth="1"/>
    <col min="14" max="14" width="8.453125" style="6" customWidth="1"/>
    <col min="15" max="15" width="1.26953125" style="6" customWidth="1"/>
    <col min="16" max="16" width="12.81640625" style="6" customWidth="1"/>
    <col min="17" max="17" width="8.453125" style="6" customWidth="1"/>
    <col min="18" max="18" width="1.26953125" style="6" customWidth="1"/>
    <col min="19" max="19" width="12.81640625" style="6" customWidth="1"/>
    <col min="20" max="20" width="8.453125" style="6" customWidth="1"/>
    <col min="21" max="21" width="1.26953125" style="6" customWidth="1"/>
    <col min="22" max="22" width="10.1796875" style="6" customWidth="1"/>
    <col min="23" max="23" width="1.26953125" style="6" customWidth="1"/>
    <col min="24" max="16384" width="8.81640625" style="6"/>
  </cols>
  <sheetData>
    <row r="3" spans="2:23" ht="16.149999999999999" customHeight="1" x14ac:dyDescent="0.3">
      <c r="G3" s="55"/>
      <c r="H3" s="55"/>
      <c r="I3" s="55"/>
      <c r="J3" s="55"/>
      <c r="K3" s="55"/>
      <c r="L3" s="55"/>
      <c r="V3" s="5" t="s">
        <v>55</v>
      </c>
    </row>
    <row r="4" spans="2:23" ht="13" x14ac:dyDescent="0.3">
      <c r="B4" s="1"/>
    </row>
    <row r="5" spans="2:23" ht="13" x14ac:dyDescent="0.3">
      <c r="B5" s="1"/>
    </row>
    <row r="6" spans="2:23" ht="6" customHeight="1" x14ac:dyDescent="0.25">
      <c r="H6" s="127"/>
      <c r="I6" s="128"/>
      <c r="J6" s="128"/>
      <c r="K6" s="129"/>
    </row>
    <row r="7" spans="2:23" ht="13.5" thickBot="1" x14ac:dyDescent="0.35">
      <c r="E7" s="184" t="s">
        <v>1</v>
      </c>
      <c r="F7" s="184"/>
      <c r="H7" s="130"/>
      <c r="I7" s="185" t="s">
        <v>30</v>
      </c>
      <c r="J7" s="185"/>
      <c r="K7" s="131"/>
      <c r="M7" s="184" t="s">
        <v>29</v>
      </c>
      <c r="N7" s="184"/>
      <c r="P7" s="173" t="s">
        <v>2</v>
      </c>
      <c r="Q7" s="173"/>
      <c r="S7" s="174" t="s">
        <v>1</v>
      </c>
      <c r="T7" s="174"/>
      <c r="V7" s="85" t="s">
        <v>4</v>
      </c>
    </row>
    <row r="8" spans="2:23" ht="15" x14ac:dyDescent="0.3">
      <c r="B8" s="1"/>
      <c r="C8" s="2"/>
      <c r="E8" s="186" t="s">
        <v>45</v>
      </c>
      <c r="F8" s="187"/>
      <c r="H8" s="130"/>
      <c r="I8" s="188" t="s">
        <v>48</v>
      </c>
      <c r="J8" s="188" t="s">
        <v>49</v>
      </c>
      <c r="K8" s="131"/>
      <c r="M8" s="186" t="s">
        <v>50</v>
      </c>
      <c r="N8" s="187"/>
      <c r="P8" s="177" t="s">
        <v>54</v>
      </c>
      <c r="Q8" s="177"/>
      <c r="S8" s="178" t="s">
        <v>57</v>
      </c>
      <c r="T8" s="178"/>
      <c r="V8" s="86" t="s">
        <v>58</v>
      </c>
    </row>
    <row r="9" spans="2:23" s="108" customFormat="1" ht="15.75" customHeight="1" x14ac:dyDescent="0.35">
      <c r="B9" s="106"/>
      <c r="C9" s="107"/>
      <c r="E9" s="109" t="s">
        <v>9</v>
      </c>
      <c r="F9" s="110"/>
      <c r="H9" s="132"/>
      <c r="I9" s="188"/>
      <c r="J9" s="188"/>
      <c r="K9" s="133"/>
      <c r="M9" s="109" t="s">
        <v>9</v>
      </c>
      <c r="N9" s="110"/>
      <c r="P9" s="162" t="s">
        <v>9</v>
      </c>
      <c r="Q9" s="163"/>
      <c r="S9" s="114" t="s">
        <v>9</v>
      </c>
      <c r="T9" s="112"/>
      <c r="V9" s="115" t="s">
        <v>9</v>
      </c>
    </row>
    <row r="10" spans="2:23" ht="13" x14ac:dyDescent="0.3">
      <c r="B10" s="1" t="s">
        <v>10</v>
      </c>
      <c r="C10" s="1"/>
      <c r="E10" s="57">
        <f>ROUNDUP(SUM(E11:E14),-3)</f>
        <v>13978000</v>
      </c>
      <c r="F10" s="77">
        <f>SUM(F11:F14)</f>
        <v>0.91999999999999993</v>
      </c>
      <c r="H10" s="130"/>
      <c r="K10" s="131"/>
      <c r="M10" s="57">
        <f>ROUNDUP(SUM(M11:M14),-3)</f>
        <v>13978000</v>
      </c>
      <c r="N10" s="77">
        <f>SUM(N11:N14)</f>
        <v>0.88500000000000001</v>
      </c>
      <c r="P10" s="17">
        <f>ROUNDUP(SUM(P11:P14),-3)</f>
        <v>15568000</v>
      </c>
      <c r="Q10" s="43">
        <f>SUM(Q11:Q14)</f>
        <v>0.94000000000000006</v>
      </c>
      <c r="S10" s="7">
        <f>ROUNDUP(SUM(S11:S14),-3)</f>
        <v>16083000</v>
      </c>
      <c r="T10" s="99">
        <f>SUM(T11:T14)</f>
        <v>0.97100000000000009</v>
      </c>
      <c r="V10" s="8"/>
    </row>
    <row r="11" spans="2:23" ht="15.75" customHeight="1" x14ac:dyDescent="0.3">
      <c r="B11" s="1"/>
      <c r="C11" s="23" t="s">
        <v>12</v>
      </c>
      <c r="D11" s="24"/>
      <c r="E11" s="58">
        <v>10183000</v>
      </c>
      <c r="F11" s="78">
        <f>ROUND(E11/E18,3)</f>
        <v>0.67100000000000004</v>
      </c>
      <c r="G11" s="24"/>
      <c r="H11" s="134"/>
      <c r="I11" s="24"/>
      <c r="J11" s="24"/>
      <c r="K11" s="135"/>
      <c r="L11" s="24"/>
      <c r="M11" s="58">
        <v>10183000</v>
      </c>
      <c r="N11" s="78">
        <f>ROUND(M11/M18,3)</f>
        <v>0.64500000000000002</v>
      </c>
      <c r="O11" s="24"/>
      <c r="P11" s="25">
        <v>10126000</v>
      </c>
      <c r="Q11" s="44">
        <f>ROUNDDOWN(P11/P18,3)</f>
        <v>0.61099999999999999</v>
      </c>
      <c r="R11" s="24"/>
      <c r="S11" s="26">
        <v>10209000</v>
      </c>
      <c r="T11" s="125">
        <f>ROUNDDOWN(S11/S18,3)</f>
        <v>0.61599999999999999</v>
      </c>
      <c r="U11" s="24"/>
      <c r="V11" s="124">
        <f t="shared" ref="V11:V14" si="0">S11-M11</f>
        <v>26000</v>
      </c>
      <c r="W11" s="24"/>
    </row>
    <row r="12" spans="2:23" ht="15.75" customHeight="1" x14ac:dyDescent="0.3">
      <c r="B12" s="1"/>
      <c r="C12" s="27" t="s">
        <v>11</v>
      </c>
      <c r="E12" s="50">
        <v>2791000</v>
      </c>
      <c r="F12" s="79">
        <f>ROUND(E12/E18,3)</f>
        <v>0.184</v>
      </c>
      <c r="H12" s="130"/>
      <c r="K12" s="131"/>
      <c r="M12" s="50">
        <v>2791000</v>
      </c>
      <c r="N12" s="79">
        <f>ROUND(M12/M18,3)</f>
        <v>0.17699999999999999</v>
      </c>
      <c r="P12" s="15">
        <v>4609000</v>
      </c>
      <c r="Q12" s="45">
        <f>ROUND(P12/P18,3)</f>
        <v>0.27800000000000002</v>
      </c>
      <c r="S12" s="9">
        <v>5382000</v>
      </c>
      <c r="T12" s="103">
        <f>ROUND(S12/S18,3)</f>
        <v>0.32500000000000001</v>
      </c>
      <c r="V12" s="10">
        <f t="shared" si="0"/>
        <v>2591000</v>
      </c>
    </row>
    <row r="13" spans="2:23" ht="15.75" customHeight="1" x14ac:dyDescent="0.3">
      <c r="B13" s="1"/>
      <c r="C13" s="27" t="s">
        <v>13</v>
      </c>
      <c r="E13" s="50">
        <v>982000</v>
      </c>
      <c r="F13" s="79">
        <f>ROUNDUP(E13/E18,3)</f>
        <v>6.5000000000000002E-2</v>
      </c>
      <c r="H13" s="130"/>
      <c r="K13" s="131"/>
      <c r="M13" s="50">
        <v>982000</v>
      </c>
      <c r="N13" s="79">
        <f>ROUNDUP(M13/M18,3)</f>
        <v>6.3E-2</v>
      </c>
      <c r="P13" s="15">
        <v>822000</v>
      </c>
      <c r="Q13" s="45">
        <f>ROUND(P13/P18,3)</f>
        <v>0.05</v>
      </c>
      <c r="S13" s="9">
        <v>485000</v>
      </c>
      <c r="T13" s="103">
        <f>ROUND(S13/S18,3)</f>
        <v>2.9000000000000001E-2</v>
      </c>
      <c r="V13" s="10">
        <f t="shared" si="0"/>
        <v>-497000</v>
      </c>
    </row>
    <row r="14" spans="2:23" ht="15.75" customHeight="1" x14ac:dyDescent="0.3">
      <c r="B14" s="1"/>
      <c r="C14" s="28" t="s">
        <v>14</v>
      </c>
      <c r="D14" s="30"/>
      <c r="E14" s="59">
        <v>22000</v>
      </c>
      <c r="F14" s="80">
        <f>ROUNDDOWN((E14-10000)/E18,3)</f>
        <v>0</v>
      </c>
      <c r="G14" s="30"/>
      <c r="H14" s="136"/>
      <c r="I14" s="30"/>
      <c r="J14" s="30"/>
      <c r="K14" s="137"/>
      <c r="L14" s="30"/>
      <c r="M14" s="59">
        <v>22000</v>
      </c>
      <c r="N14" s="80">
        <f>ROUNDDOWN((M14-10000)/M18,3)</f>
        <v>0</v>
      </c>
      <c r="O14" s="30"/>
      <c r="P14" s="31">
        <v>11000</v>
      </c>
      <c r="Q14" s="46">
        <f>ROUND(P14/P18,3)</f>
        <v>1E-3</v>
      </c>
      <c r="R14" s="30"/>
      <c r="S14" s="32">
        <v>7000</v>
      </c>
      <c r="T14" s="126">
        <f>ROUNDUP(S14/S18,3)</f>
        <v>1E-3</v>
      </c>
      <c r="U14" s="30"/>
      <c r="V14" s="159">
        <f t="shared" si="0"/>
        <v>-15000</v>
      </c>
      <c r="W14" s="30"/>
    </row>
    <row r="15" spans="2:23" ht="7.5" customHeight="1" x14ac:dyDescent="0.3">
      <c r="B15" s="1"/>
      <c r="C15" s="2"/>
      <c r="D15" s="14"/>
      <c r="E15" s="50"/>
      <c r="F15" s="79"/>
      <c r="G15" s="14"/>
      <c r="H15" s="138"/>
      <c r="I15" s="14"/>
      <c r="J15" s="14"/>
      <c r="K15" s="139"/>
      <c r="L15" s="14"/>
      <c r="M15" s="50"/>
      <c r="N15" s="79"/>
      <c r="O15" s="14"/>
      <c r="P15" s="15"/>
      <c r="Q15" s="45"/>
      <c r="R15" s="14"/>
      <c r="S15" s="9"/>
      <c r="T15" s="103"/>
      <c r="U15" s="14"/>
      <c r="V15" s="10"/>
      <c r="W15" s="14"/>
    </row>
    <row r="16" spans="2:23" ht="13" x14ac:dyDescent="0.3">
      <c r="B16" s="1" t="s">
        <v>46</v>
      </c>
      <c r="C16" s="1"/>
      <c r="D16" s="42"/>
      <c r="E16" s="57">
        <v>1201000</v>
      </c>
      <c r="F16" s="77">
        <f>ROUNDUP(E16/E18,3)</f>
        <v>0.08</v>
      </c>
      <c r="G16" s="42"/>
      <c r="H16" s="140"/>
      <c r="I16" s="10">
        <v>-900000</v>
      </c>
      <c r="J16" s="10">
        <v>1500000</v>
      </c>
      <c r="K16" s="141"/>
      <c r="L16" s="42"/>
      <c r="M16" s="57">
        <f>E16+I16+J16</f>
        <v>1801000</v>
      </c>
      <c r="N16" s="77">
        <f>ROUNDUP(M16/M18,3)</f>
        <v>0.115</v>
      </c>
      <c r="O16" s="42"/>
      <c r="P16" s="17">
        <v>1003000</v>
      </c>
      <c r="Q16" s="43">
        <f>ROUNDDOWN(P16/P18,3)</f>
        <v>0.06</v>
      </c>
      <c r="R16" s="42"/>
      <c r="S16" s="7">
        <v>483000</v>
      </c>
      <c r="T16" s="99">
        <f>ROUNDDOWN(S16/S18,3)</f>
        <v>2.9000000000000001E-2</v>
      </c>
      <c r="U16" s="42"/>
      <c r="V16" s="8">
        <f>S16-M16</f>
        <v>-1318000</v>
      </c>
      <c r="W16" s="42"/>
    </row>
    <row r="17" spans="2:23" ht="7.5" customHeight="1" x14ac:dyDescent="0.25">
      <c r="B17" s="2"/>
      <c r="C17" s="2"/>
      <c r="E17" s="50"/>
      <c r="F17" s="81"/>
      <c r="H17" s="130"/>
      <c r="K17" s="131"/>
      <c r="M17" s="50"/>
      <c r="N17" s="81"/>
      <c r="P17" s="15"/>
      <c r="Q17" s="47"/>
      <c r="S17" s="9"/>
      <c r="T17" s="103"/>
      <c r="V17" s="10"/>
    </row>
    <row r="18" spans="2:23" ht="13.5" thickBot="1" x14ac:dyDescent="0.35">
      <c r="B18" s="22" t="s">
        <v>17</v>
      </c>
      <c r="C18" s="22"/>
      <c r="D18" s="19"/>
      <c r="E18" s="60">
        <f>E10+E16</f>
        <v>15179000</v>
      </c>
      <c r="F18" s="82">
        <f>F10+F16</f>
        <v>0.99999999999999989</v>
      </c>
      <c r="G18" s="19"/>
      <c r="H18" s="142"/>
      <c r="I18" s="12">
        <f>I10+I16</f>
        <v>-900000</v>
      </c>
      <c r="J18" s="12">
        <f>J10+J16</f>
        <v>1500000</v>
      </c>
      <c r="K18" s="143"/>
      <c r="L18" s="19"/>
      <c r="M18" s="60">
        <f>M10+M16</f>
        <v>15779000</v>
      </c>
      <c r="N18" s="82">
        <f>N10+N16</f>
        <v>1</v>
      </c>
      <c r="O18" s="19"/>
      <c r="P18" s="20">
        <f>P10+P16</f>
        <v>16571000</v>
      </c>
      <c r="Q18" s="48">
        <f>ROUND(P18/P18,3)</f>
        <v>1</v>
      </c>
      <c r="R18" s="19"/>
      <c r="S18" s="11">
        <f>S10+S16</f>
        <v>16566000</v>
      </c>
      <c r="T18" s="104">
        <f>ROUND(S18/S18,3)</f>
        <v>1</v>
      </c>
      <c r="U18" s="19"/>
      <c r="V18" s="12">
        <f>S18-M18</f>
        <v>787000</v>
      </c>
      <c r="W18" s="19"/>
    </row>
    <row r="19" spans="2:23" ht="7.5" customHeight="1" x14ac:dyDescent="0.25">
      <c r="B19" s="2"/>
      <c r="C19" s="2"/>
      <c r="E19" s="50"/>
      <c r="F19" s="61"/>
      <c r="H19" s="130"/>
      <c r="K19" s="131"/>
      <c r="M19" s="50"/>
      <c r="N19" s="61"/>
      <c r="P19" s="15"/>
      <c r="Q19" s="164"/>
      <c r="S19" s="9"/>
      <c r="T19" s="94"/>
      <c r="V19" s="10"/>
    </row>
    <row r="20" spans="2:23" x14ac:dyDescent="0.25">
      <c r="B20" s="2"/>
      <c r="C20" s="23" t="s">
        <v>36</v>
      </c>
      <c r="D20" s="24"/>
      <c r="E20" s="58">
        <v>0</v>
      </c>
      <c r="F20" s="62"/>
      <c r="G20" s="135"/>
      <c r="H20" s="134"/>
      <c r="I20" s="24"/>
      <c r="J20" s="24"/>
      <c r="K20" s="135"/>
      <c r="L20" s="24"/>
      <c r="M20" s="58">
        <v>0</v>
      </c>
      <c r="N20" s="62"/>
      <c r="O20" s="24"/>
      <c r="P20" s="25">
        <v>0</v>
      </c>
      <c r="Q20" s="88"/>
      <c r="R20" s="24"/>
      <c r="S20" s="26">
        <v>0</v>
      </c>
      <c r="T20" s="150"/>
      <c r="U20" s="24"/>
      <c r="V20" s="124">
        <f>S20-M24</f>
        <v>109000</v>
      </c>
      <c r="W20" s="24"/>
    </row>
    <row r="21" spans="2:23" x14ac:dyDescent="0.25">
      <c r="B21" s="2"/>
      <c r="C21" s="123" t="s">
        <v>44</v>
      </c>
      <c r="E21" s="50">
        <v>0</v>
      </c>
      <c r="F21" s="64"/>
      <c r="G21" s="131"/>
      <c r="H21" s="130"/>
      <c r="K21" s="131"/>
      <c r="M21" s="50">
        <v>0</v>
      </c>
      <c r="N21" s="64"/>
      <c r="P21" s="15">
        <v>-2682000</v>
      </c>
      <c r="Q21" s="75"/>
      <c r="S21" s="9">
        <v>-2873000</v>
      </c>
      <c r="T21" s="94"/>
      <c r="V21" s="10">
        <f>S21-M25</f>
        <v>-224828.88349734154</v>
      </c>
    </row>
    <row r="22" spans="2:23" x14ac:dyDescent="0.25">
      <c r="B22" s="2"/>
      <c r="C22" s="28" t="s">
        <v>20</v>
      </c>
      <c r="D22" s="29"/>
      <c r="E22" s="59">
        <v>0</v>
      </c>
      <c r="F22" s="63"/>
      <c r="G22" s="145"/>
      <c r="H22" s="144"/>
      <c r="I22" s="29"/>
      <c r="J22" s="29"/>
      <c r="K22" s="145"/>
      <c r="L22" s="29"/>
      <c r="M22" s="59">
        <v>0</v>
      </c>
      <c r="N22" s="63"/>
      <c r="O22" s="38"/>
      <c r="P22" s="31">
        <v>-1764000</v>
      </c>
      <c r="Q22" s="89"/>
      <c r="R22" s="38"/>
      <c r="S22" s="32">
        <v>-1701000</v>
      </c>
      <c r="T22" s="151"/>
      <c r="U22" s="38"/>
      <c r="V22" s="155">
        <f>S22-M26</f>
        <v>53115.135339242872</v>
      </c>
      <c r="W22" s="29"/>
    </row>
    <row r="23" spans="2:23" ht="13" x14ac:dyDescent="0.3">
      <c r="B23" s="1" t="s">
        <v>21</v>
      </c>
      <c r="C23" s="2"/>
      <c r="E23" s="57">
        <f>SUM(E20:E22)</f>
        <v>0</v>
      </c>
      <c r="F23" s="64"/>
      <c r="H23" s="130"/>
      <c r="K23" s="131"/>
      <c r="M23" s="57">
        <f>SUM(M20:M22)</f>
        <v>0</v>
      </c>
      <c r="N23" s="64"/>
      <c r="P23" s="17">
        <f>SUM(P20:P22)</f>
        <v>-4446000</v>
      </c>
      <c r="Q23" s="75"/>
      <c r="S23" s="7">
        <f>SUM(S20:S22)</f>
        <v>-4574000</v>
      </c>
      <c r="T23" s="94"/>
      <c r="V23" s="8"/>
    </row>
    <row r="24" spans="2:23" x14ac:dyDescent="0.25">
      <c r="B24" s="2"/>
      <c r="C24" s="33" t="s">
        <v>36</v>
      </c>
      <c r="D24" s="34"/>
      <c r="E24" s="49">
        <v>-109000</v>
      </c>
      <c r="F24" s="120"/>
      <c r="G24" s="135"/>
      <c r="H24" s="153"/>
      <c r="I24" s="152">
        <v>0</v>
      </c>
      <c r="J24" s="34"/>
      <c r="K24" s="154"/>
      <c r="L24" s="34"/>
      <c r="M24" s="49">
        <f>E24+I24+J24+L24</f>
        <v>-109000</v>
      </c>
      <c r="N24" s="120"/>
      <c r="O24" s="34"/>
      <c r="P24" s="35">
        <v>0</v>
      </c>
      <c r="Q24" s="165"/>
      <c r="R24" s="34"/>
      <c r="S24" s="36">
        <v>0</v>
      </c>
      <c r="T24" s="149"/>
      <c r="U24" s="34"/>
      <c r="V24" s="152"/>
      <c r="W24" s="34"/>
    </row>
    <row r="25" spans="2:23" x14ac:dyDescent="0.25">
      <c r="B25" s="2"/>
      <c r="C25" s="122" t="s">
        <v>44</v>
      </c>
      <c r="E25" s="50">
        <v>-3504000</v>
      </c>
      <c r="F25" s="64"/>
      <c r="G25" s="131"/>
      <c r="H25" s="130"/>
      <c r="I25" s="10">
        <v>150000</v>
      </c>
      <c r="K25" s="179">
        <f>M25-J25-I25-E25</f>
        <v>705828.88349734154</v>
      </c>
      <c r="L25" s="180"/>
      <c r="M25" s="50">
        <v>-2648171.1165026585</v>
      </c>
      <c r="N25" s="64"/>
      <c r="P25" s="15">
        <v>0</v>
      </c>
      <c r="Q25" s="75"/>
      <c r="S25" s="9">
        <v>0</v>
      </c>
      <c r="T25" s="94"/>
      <c r="V25" s="10"/>
    </row>
    <row r="26" spans="2:23" x14ac:dyDescent="0.25">
      <c r="B26" s="2"/>
      <c r="C26" s="122" t="s">
        <v>20</v>
      </c>
      <c r="E26" s="50">
        <v>-2820000</v>
      </c>
      <c r="F26" s="64"/>
      <c r="G26" s="131"/>
      <c r="H26" s="130"/>
      <c r="I26" s="10">
        <v>750000</v>
      </c>
      <c r="K26" s="181">
        <f>M26-J26-I26-E26</f>
        <v>315884.86466075713</v>
      </c>
      <c r="L26" s="182"/>
      <c r="M26" s="50">
        <v>-1754115.1353392429</v>
      </c>
      <c r="N26" s="64"/>
      <c r="P26" s="15">
        <v>0</v>
      </c>
      <c r="Q26" s="75"/>
      <c r="S26" s="9">
        <v>0</v>
      </c>
      <c r="T26" s="94"/>
      <c r="V26" s="10"/>
    </row>
    <row r="27" spans="2:23" x14ac:dyDescent="0.25">
      <c r="B27" s="2"/>
      <c r="C27" s="37" t="s">
        <v>31</v>
      </c>
      <c r="D27" s="38"/>
      <c r="E27" s="117">
        <v>-137000</v>
      </c>
      <c r="F27" s="118"/>
      <c r="G27" s="29"/>
      <c r="H27" s="156"/>
      <c r="I27" s="38"/>
      <c r="J27" s="38"/>
      <c r="K27" s="157"/>
      <c r="L27" s="38"/>
      <c r="M27" s="117">
        <f t="shared" ref="M27" si="1">E27+I27+J27</f>
        <v>-137000</v>
      </c>
      <c r="N27" s="118"/>
      <c r="O27" s="38"/>
      <c r="P27" s="39">
        <v>-155000</v>
      </c>
      <c r="Q27" s="166"/>
      <c r="R27" s="38"/>
      <c r="S27" s="40">
        <v>-175000</v>
      </c>
      <c r="T27" s="119"/>
      <c r="U27" s="38"/>
      <c r="V27" s="155">
        <f t="shared" ref="V27" si="2">S27-M27</f>
        <v>-38000</v>
      </c>
      <c r="W27" s="38"/>
    </row>
    <row r="28" spans="2:23" ht="13" x14ac:dyDescent="0.3">
      <c r="B28" s="1" t="s">
        <v>23</v>
      </c>
      <c r="C28" s="2"/>
      <c r="E28" s="57">
        <f>SUM(E24:E27)</f>
        <v>-6570000</v>
      </c>
      <c r="F28" s="64"/>
      <c r="H28" s="130"/>
      <c r="K28" s="131"/>
      <c r="M28" s="57">
        <f>SUM(M24:M27)</f>
        <v>-4648286.2518419009</v>
      </c>
      <c r="N28" s="64"/>
      <c r="P28" s="17">
        <f>SUM(P24:P27)</f>
        <v>-155000</v>
      </c>
      <c r="Q28" s="75"/>
      <c r="S28" s="7">
        <f>SUM(S24:S27)</f>
        <v>-175000</v>
      </c>
      <c r="T28" s="94"/>
      <c r="V28" s="8"/>
    </row>
    <row r="29" spans="2:23" ht="7.15" customHeight="1" x14ac:dyDescent="0.25">
      <c r="B29" s="2"/>
      <c r="C29" s="2"/>
      <c r="E29" s="50"/>
      <c r="F29" s="64"/>
      <c r="H29" s="130"/>
      <c r="K29" s="131"/>
      <c r="M29" s="50"/>
      <c r="N29" s="64"/>
      <c r="P29" s="15"/>
      <c r="Q29" s="75"/>
      <c r="S29" s="9"/>
      <c r="T29" s="94"/>
      <c r="V29" s="10"/>
    </row>
    <row r="30" spans="2:23" ht="13.5" thickBot="1" x14ac:dyDescent="0.35">
      <c r="B30" s="22" t="s">
        <v>24</v>
      </c>
      <c r="C30" s="21"/>
      <c r="D30" s="19"/>
      <c r="E30" s="60">
        <f>E23+E28</f>
        <v>-6570000</v>
      </c>
      <c r="F30" s="67"/>
      <c r="G30" s="19"/>
      <c r="H30" s="142"/>
      <c r="I30" s="12">
        <f>SUM(I20:I28)</f>
        <v>900000</v>
      </c>
      <c r="J30" s="19"/>
      <c r="K30" s="143"/>
      <c r="L30" s="19"/>
      <c r="M30" s="60">
        <f>M23+M28</f>
        <v>-4648286.2518419009</v>
      </c>
      <c r="N30" s="67"/>
      <c r="O30" s="19"/>
      <c r="P30" s="20">
        <f>P23+P28</f>
        <v>-4601000</v>
      </c>
      <c r="Q30" s="76"/>
      <c r="R30" s="19"/>
      <c r="S30" s="11">
        <f>S23+S28</f>
        <v>-4749000</v>
      </c>
      <c r="T30" s="98"/>
      <c r="U30" s="19"/>
      <c r="V30" s="12">
        <f t="shared" ref="V30" si="3">S30-M30</f>
        <v>-100713.74815809913</v>
      </c>
      <c r="W30" s="19"/>
    </row>
    <row r="31" spans="2:23" ht="7.5" customHeight="1" x14ac:dyDescent="0.3">
      <c r="B31" s="1"/>
      <c r="C31" s="2"/>
      <c r="E31" s="68"/>
      <c r="F31" s="61"/>
      <c r="H31" s="130"/>
      <c r="K31" s="131"/>
      <c r="M31" s="68"/>
      <c r="N31" s="61"/>
      <c r="P31" s="18"/>
      <c r="Q31" s="164"/>
      <c r="S31" s="3"/>
      <c r="T31" s="94"/>
      <c r="V31" s="4"/>
    </row>
    <row r="32" spans="2:23" ht="13" x14ac:dyDescent="0.3">
      <c r="B32" s="1" t="s">
        <v>34</v>
      </c>
      <c r="E32" s="57">
        <f>E18+E30</f>
        <v>8609000</v>
      </c>
      <c r="F32" s="64"/>
      <c r="H32" s="130"/>
      <c r="J32" s="8">
        <f>J18+J30</f>
        <v>1500000</v>
      </c>
      <c r="K32" s="131"/>
      <c r="M32" s="57">
        <f>M18+M30</f>
        <v>11130713.748158099</v>
      </c>
      <c r="N32" s="64"/>
      <c r="P32" s="17">
        <f>P18+P30</f>
        <v>11970000</v>
      </c>
      <c r="Q32" s="75"/>
      <c r="S32" s="7">
        <f>S18+S30</f>
        <v>11817000</v>
      </c>
      <c r="T32" s="94"/>
      <c r="V32" s="8">
        <f t="shared" ref="V32" si="4">S32-M32</f>
        <v>686286.25184190087</v>
      </c>
    </row>
    <row r="33" spans="2:23" ht="7.5" customHeight="1" x14ac:dyDescent="0.25">
      <c r="B33" s="2"/>
      <c r="C33" s="2"/>
      <c r="E33" s="50"/>
      <c r="F33" s="64"/>
      <c r="H33" s="130"/>
      <c r="K33" s="131"/>
      <c r="M33" s="50"/>
      <c r="N33" s="64"/>
      <c r="P33" s="15"/>
      <c r="Q33" s="75"/>
      <c r="S33" s="9"/>
      <c r="T33" s="94"/>
      <c r="V33" s="10"/>
    </row>
    <row r="34" spans="2:23" ht="13" x14ac:dyDescent="0.3">
      <c r="B34" s="1" t="s">
        <v>33</v>
      </c>
      <c r="C34" s="1"/>
      <c r="E34" s="69">
        <v>1320300</v>
      </c>
      <c r="F34" s="64"/>
      <c r="H34" s="130"/>
      <c r="J34" s="87">
        <v>2542372.8813559324</v>
      </c>
      <c r="K34" s="131"/>
      <c r="M34" s="69">
        <f>E34+I34+J34</f>
        <v>3862672.8813559324</v>
      </c>
      <c r="N34" s="64"/>
      <c r="P34" s="16">
        <f>M34</f>
        <v>3862672.8813559324</v>
      </c>
      <c r="Q34" s="75"/>
      <c r="S34" s="13">
        <f>P34</f>
        <v>3862672.8813559324</v>
      </c>
      <c r="T34" s="94"/>
      <c r="V34" s="87">
        <f t="shared" ref="V34" si="5">S34-M34</f>
        <v>0</v>
      </c>
    </row>
    <row r="35" spans="2:23" ht="7.5" customHeight="1" x14ac:dyDescent="0.25">
      <c r="B35" s="2"/>
      <c r="C35" s="2"/>
      <c r="E35" s="50"/>
      <c r="F35" s="64"/>
      <c r="H35" s="130"/>
      <c r="K35" s="131"/>
      <c r="M35" s="50"/>
      <c r="N35" s="64"/>
      <c r="P35" s="15"/>
      <c r="Q35" s="75"/>
      <c r="S35" s="9"/>
      <c r="T35" s="94"/>
      <c r="V35" s="10"/>
    </row>
    <row r="36" spans="2:23" ht="13" x14ac:dyDescent="0.3">
      <c r="B36" s="1" t="s">
        <v>27</v>
      </c>
      <c r="C36" s="2"/>
      <c r="E36" s="160">
        <f>ROUND(E32/E34,2)</f>
        <v>6.52</v>
      </c>
      <c r="F36" s="161"/>
      <c r="H36" s="130"/>
      <c r="K36" s="131"/>
      <c r="M36" s="160">
        <f>ROUND(M32/M34,2)</f>
        <v>2.88</v>
      </c>
      <c r="N36" s="161"/>
      <c r="P36" s="73">
        <f>ROUND(P32/P34,2)</f>
        <v>3.1</v>
      </c>
      <c r="Q36" s="74"/>
      <c r="S36" s="72">
        <f>ROUND(S32/S34,2)</f>
        <v>3.06</v>
      </c>
      <c r="T36" s="83"/>
      <c r="V36" s="116">
        <f t="shared" ref="V36" si="6">S36-M36</f>
        <v>0.18000000000000016</v>
      </c>
    </row>
    <row r="37" spans="2:23" ht="6.75" customHeight="1" x14ac:dyDescent="0.25">
      <c r="H37" s="130"/>
      <c r="K37" s="131"/>
    </row>
    <row r="38" spans="2:23" ht="15" x14ac:dyDescent="0.3">
      <c r="B38" s="1" t="s">
        <v>51</v>
      </c>
      <c r="C38" s="2"/>
      <c r="E38" s="160">
        <f>ROUND((E32-E26)/(E34+(2998604/4.37)),2)</f>
        <v>5.7</v>
      </c>
      <c r="F38" s="161"/>
      <c r="H38" s="130"/>
      <c r="K38" s="131"/>
      <c r="M38" s="160">
        <f>ROUND((M32-M26)/(M34+((2998604-750000)/2.21)),2)</f>
        <v>2.64</v>
      </c>
      <c r="N38" s="161"/>
      <c r="P38" s="73">
        <f>ROUND((P32-P22)/(P34+((2998604-750000)/2.21)),2)</f>
        <v>2.81</v>
      </c>
      <c r="Q38" s="74"/>
      <c r="S38" s="72">
        <f>ROUND((S32-S22)/(S34+(2119500/2.21)),2)</f>
        <v>2.8</v>
      </c>
      <c r="T38" s="83"/>
      <c r="V38" s="116">
        <f t="shared" ref="V38" si="7">S38-M38</f>
        <v>0.1599999999999997</v>
      </c>
    </row>
    <row r="39" spans="2:23" ht="6.75" customHeight="1" x14ac:dyDescent="0.25">
      <c r="H39" s="146"/>
      <c r="I39" s="147"/>
      <c r="J39" s="147"/>
      <c r="K39" s="148"/>
    </row>
    <row r="40" spans="2:23" ht="6.75" customHeight="1" x14ac:dyDescent="0.25"/>
    <row r="41" spans="2:23" ht="111.75" customHeight="1" x14ac:dyDescent="0.25">
      <c r="B41" s="56" t="s">
        <v>56</v>
      </c>
      <c r="C41" s="183" t="s">
        <v>59</v>
      </c>
      <c r="D41" s="183"/>
      <c r="E41" s="183"/>
      <c r="F41" s="183"/>
      <c r="G41" s="183"/>
      <c r="H41" s="183"/>
      <c r="I41" s="183"/>
      <c r="J41" s="183"/>
      <c r="K41" s="183"/>
      <c r="L41" s="183"/>
      <c r="M41" s="183"/>
      <c r="N41" s="183"/>
      <c r="O41" s="183"/>
      <c r="P41" s="183"/>
      <c r="Q41" s="183"/>
      <c r="R41" s="183"/>
      <c r="S41" s="183"/>
      <c r="T41" s="183"/>
      <c r="U41" s="183"/>
      <c r="V41" s="183"/>
      <c r="W41" s="56"/>
    </row>
  </sheetData>
  <mergeCells count="14">
    <mergeCell ref="K25:L25"/>
    <mergeCell ref="K26:L26"/>
    <mergeCell ref="C41:V41"/>
    <mergeCell ref="P7:Q7"/>
    <mergeCell ref="E7:F7"/>
    <mergeCell ref="I7:J7"/>
    <mergeCell ref="M7:N7"/>
    <mergeCell ref="P8:Q8"/>
    <mergeCell ref="E8:F8"/>
    <mergeCell ref="I8:I9"/>
    <mergeCell ref="J8:J9"/>
    <mergeCell ref="M8:N8"/>
    <mergeCell ref="S7:T7"/>
    <mergeCell ref="S8:T8"/>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3F601-FB43-4A24-A36E-9C86E63FB0BD}">
  <sheetPr>
    <pageSetUpPr fitToPage="1"/>
  </sheetPr>
  <dimension ref="B3:U40"/>
  <sheetViews>
    <sheetView showGridLines="0" zoomScaleNormal="100" workbookViewId="0"/>
  </sheetViews>
  <sheetFormatPr defaultColWidth="8.81640625" defaultRowHeight="12.5" x14ac:dyDescent="0.25"/>
  <cols>
    <col min="1" max="1" width="4.54296875" style="6" customWidth="1"/>
    <col min="2" max="2" width="3.1796875" style="6" customWidth="1"/>
    <col min="3" max="3" width="29.1796875" style="6" customWidth="1"/>
    <col min="4" max="4" width="1.7265625" style="6" customWidth="1"/>
    <col min="5" max="5" width="12.81640625" style="6" customWidth="1"/>
    <col min="6" max="6" width="8.453125" style="6" customWidth="1"/>
    <col min="7" max="7" width="1.26953125" style="6" customWidth="1"/>
    <col min="8" max="8" width="10.1796875" style="6" customWidth="1"/>
    <col min="9" max="9" width="1.26953125" style="6" customWidth="1"/>
    <col min="10" max="10" width="12.81640625" style="6" customWidth="1"/>
    <col min="11" max="11" width="8.453125" style="6" customWidth="1"/>
    <col min="12" max="13" width="2" style="6" customWidth="1"/>
    <col min="14" max="15" width="11.26953125" style="6" customWidth="1"/>
    <col min="16" max="17" width="2" style="6" customWidth="1"/>
    <col min="18" max="18" width="12.81640625" style="6" customWidth="1"/>
    <col min="19" max="19" width="8.453125" style="6" customWidth="1"/>
    <col min="20" max="21" width="1.26953125" style="6" customWidth="1"/>
    <col min="22" max="16384" width="8.81640625" style="6"/>
  </cols>
  <sheetData>
    <row r="3" spans="2:21" ht="16.149999999999999" customHeight="1" x14ac:dyDescent="0.3">
      <c r="L3" s="55"/>
      <c r="M3" s="55"/>
      <c r="N3" s="55"/>
      <c r="O3" s="55"/>
      <c r="P3" s="55"/>
      <c r="Q3" s="55"/>
      <c r="S3" s="5" t="s">
        <v>42</v>
      </c>
      <c r="T3" s="55"/>
      <c r="U3" s="55"/>
    </row>
    <row r="4" spans="2:21" ht="13" x14ac:dyDescent="0.3">
      <c r="B4" s="1"/>
    </row>
    <row r="5" spans="2:21" ht="13" x14ac:dyDescent="0.3">
      <c r="B5" s="1"/>
    </row>
    <row r="6" spans="2:21" ht="6" customHeight="1" x14ac:dyDescent="0.25">
      <c r="M6" s="127"/>
      <c r="N6" s="128"/>
      <c r="O6" s="128"/>
      <c r="P6" s="129"/>
    </row>
    <row r="7" spans="2:21" ht="13.5" thickBot="1" x14ac:dyDescent="0.35">
      <c r="E7" s="172" t="s">
        <v>1</v>
      </c>
      <c r="F7" s="172"/>
      <c r="H7" s="85" t="s">
        <v>4</v>
      </c>
      <c r="J7" s="174" t="s">
        <v>1</v>
      </c>
      <c r="K7" s="174"/>
      <c r="M7" s="130"/>
      <c r="N7" s="185" t="s">
        <v>30</v>
      </c>
      <c r="O7" s="185"/>
      <c r="P7" s="131"/>
      <c r="R7" s="174" t="s">
        <v>29</v>
      </c>
      <c r="S7" s="174"/>
    </row>
    <row r="8" spans="2:21" ht="15" x14ac:dyDescent="0.3">
      <c r="B8" s="1"/>
      <c r="C8" s="2"/>
      <c r="E8" s="175" t="s">
        <v>39</v>
      </c>
      <c r="F8" s="176"/>
      <c r="H8" s="86" t="s">
        <v>47</v>
      </c>
      <c r="J8" s="178" t="s">
        <v>45</v>
      </c>
      <c r="K8" s="178"/>
      <c r="M8" s="130"/>
      <c r="N8" s="188" t="s">
        <v>48</v>
      </c>
      <c r="O8" s="188" t="s">
        <v>49</v>
      </c>
      <c r="P8" s="131"/>
      <c r="R8" s="178" t="s">
        <v>50</v>
      </c>
      <c r="S8" s="178"/>
    </row>
    <row r="9" spans="2:21" s="108" customFormat="1" ht="15.75" customHeight="1" x14ac:dyDescent="0.35">
      <c r="B9" s="106"/>
      <c r="C9" s="107"/>
      <c r="E9" s="109" t="s">
        <v>9</v>
      </c>
      <c r="F9" s="110"/>
      <c r="H9" s="115" t="s">
        <v>9</v>
      </c>
      <c r="J9" s="114" t="s">
        <v>9</v>
      </c>
      <c r="K9" s="112"/>
      <c r="M9" s="132"/>
      <c r="N9" s="188"/>
      <c r="O9" s="188"/>
      <c r="P9" s="133"/>
      <c r="R9" s="114" t="s">
        <v>9</v>
      </c>
      <c r="S9" s="112"/>
    </row>
    <row r="10" spans="2:21" ht="13" x14ac:dyDescent="0.3">
      <c r="B10" s="1" t="s">
        <v>10</v>
      </c>
      <c r="C10" s="1"/>
      <c r="E10" s="57">
        <f>ROUNDUP(SUM(E11:E14),-3)</f>
        <v>13653000</v>
      </c>
      <c r="F10" s="77">
        <f>SUM(F11:F14)</f>
        <v>0.79200000000000004</v>
      </c>
      <c r="H10" s="8"/>
      <c r="J10" s="7">
        <f>ROUNDUP(SUM(J11:J14),-3)</f>
        <v>13978000</v>
      </c>
      <c r="K10" s="99">
        <f>SUM(K11:K14)</f>
        <v>0.91999999999999993</v>
      </c>
      <c r="M10" s="130"/>
      <c r="P10" s="131"/>
      <c r="R10" s="7">
        <f>ROUNDUP(SUM(R11:R14),-3)</f>
        <v>13978000</v>
      </c>
      <c r="S10" s="99">
        <f>SUM(S11:S14)</f>
        <v>0.88500000000000001</v>
      </c>
    </row>
    <row r="11" spans="2:21" ht="15.75" customHeight="1" x14ac:dyDescent="0.3">
      <c r="B11" s="1"/>
      <c r="C11" s="23" t="s">
        <v>12</v>
      </c>
      <c r="D11" s="24"/>
      <c r="E11" s="58">
        <v>9044614.8174738307</v>
      </c>
      <c r="F11" s="78">
        <f>ROUNDUP(E11/E18,3)</f>
        <v>0.52500000000000002</v>
      </c>
      <c r="G11" s="24"/>
      <c r="H11" s="124">
        <f>J11-E11</f>
        <v>1138385.1825261693</v>
      </c>
      <c r="I11" s="24"/>
      <c r="J11" s="26">
        <v>10183000</v>
      </c>
      <c r="K11" s="125">
        <f>ROUND(J11/J18,3)</f>
        <v>0.67100000000000004</v>
      </c>
      <c r="L11" s="24"/>
      <c r="M11" s="134"/>
      <c r="N11" s="24"/>
      <c r="O11" s="24"/>
      <c r="P11" s="135"/>
      <c r="Q11" s="24"/>
      <c r="R11" s="26">
        <v>10183000</v>
      </c>
      <c r="S11" s="100">
        <f>ROUND(R11/R18,3)</f>
        <v>0.64500000000000002</v>
      </c>
    </row>
    <row r="12" spans="2:21" ht="15.75" customHeight="1" x14ac:dyDescent="0.3">
      <c r="B12" s="1"/>
      <c r="C12" s="27" t="s">
        <v>11</v>
      </c>
      <c r="E12" s="50">
        <v>3640078.44</v>
      </c>
      <c r="F12" s="79">
        <f>ROUND(E12/E18,3)</f>
        <v>0.21099999999999999</v>
      </c>
      <c r="H12" s="10">
        <f t="shared" ref="H12:H18" si="0">J12-E12</f>
        <v>-849078.44</v>
      </c>
      <c r="J12" s="9">
        <v>2791000</v>
      </c>
      <c r="K12" s="103">
        <f>ROUND(J12/J18,3)</f>
        <v>0.184</v>
      </c>
      <c r="M12" s="130"/>
      <c r="P12" s="131"/>
      <c r="R12" s="9">
        <v>2791000</v>
      </c>
      <c r="S12" s="101">
        <f>ROUND(R12/R18,3)</f>
        <v>0.17699999999999999</v>
      </c>
    </row>
    <row r="13" spans="2:21" ht="15.75" customHeight="1" x14ac:dyDescent="0.3">
      <c r="B13" s="1"/>
      <c r="C13" s="27" t="s">
        <v>13</v>
      </c>
      <c r="E13" s="50">
        <v>931000</v>
      </c>
      <c r="F13" s="79">
        <f>ROUND(E13/E18,3)</f>
        <v>5.3999999999999999E-2</v>
      </c>
      <c r="H13" s="10">
        <f t="shared" si="0"/>
        <v>51000</v>
      </c>
      <c r="J13" s="9">
        <v>982000</v>
      </c>
      <c r="K13" s="103">
        <f>ROUNDUP(J13/J18,3)</f>
        <v>6.5000000000000002E-2</v>
      </c>
      <c r="M13" s="130"/>
      <c r="P13" s="131"/>
      <c r="R13" s="9">
        <v>982000</v>
      </c>
      <c r="S13" s="101">
        <f>ROUNDUP(R13/R18,3)</f>
        <v>6.3E-2</v>
      </c>
    </row>
    <row r="14" spans="2:21" ht="15.75" customHeight="1" x14ac:dyDescent="0.3">
      <c r="B14" s="1"/>
      <c r="C14" s="28" t="s">
        <v>14</v>
      </c>
      <c r="D14" s="30"/>
      <c r="E14" s="59">
        <v>36670.671000000002</v>
      </c>
      <c r="F14" s="80">
        <f>ROUND(E14/E18,3)</f>
        <v>2E-3</v>
      </c>
      <c r="G14" s="30"/>
      <c r="H14" s="159">
        <f t="shared" si="0"/>
        <v>-14670.671000000002</v>
      </c>
      <c r="I14" s="30"/>
      <c r="J14" s="32">
        <v>22000</v>
      </c>
      <c r="K14" s="126">
        <f>ROUNDDOWN((J14-10000)/J18,3)</f>
        <v>0</v>
      </c>
      <c r="L14" s="30"/>
      <c r="M14" s="136"/>
      <c r="N14" s="30"/>
      <c r="O14" s="30"/>
      <c r="P14" s="137"/>
      <c r="Q14" s="30"/>
      <c r="R14" s="32">
        <v>22000</v>
      </c>
      <c r="S14" s="102">
        <f>ROUNDDOWN((R14-10000)/R18,3)</f>
        <v>0</v>
      </c>
      <c r="U14" s="14"/>
    </row>
    <row r="15" spans="2:21" ht="7.5" customHeight="1" x14ac:dyDescent="0.3">
      <c r="B15" s="1"/>
      <c r="C15" s="2"/>
      <c r="D15" s="14"/>
      <c r="E15" s="50"/>
      <c r="F15" s="79"/>
      <c r="G15" s="14"/>
      <c r="H15" s="10"/>
      <c r="I15" s="14"/>
      <c r="J15" s="9"/>
      <c r="K15" s="103"/>
      <c r="L15" s="14"/>
      <c r="M15" s="138"/>
      <c r="N15" s="14"/>
      <c r="O15" s="14"/>
      <c r="P15" s="139"/>
      <c r="Q15" s="14"/>
      <c r="R15" s="9"/>
      <c r="S15" s="103"/>
      <c r="U15" s="14"/>
    </row>
    <row r="16" spans="2:21" ht="13" x14ac:dyDescent="0.3">
      <c r="B16" s="1" t="s">
        <v>46</v>
      </c>
      <c r="C16" s="1"/>
      <c r="D16" s="42"/>
      <c r="E16" s="57">
        <v>3581692</v>
      </c>
      <c r="F16" s="77">
        <f>ROUNDDOWN(E16/E18,3)</f>
        <v>0.20699999999999999</v>
      </c>
      <c r="G16" s="42"/>
      <c r="H16" s="8">
        <f t="shared" si="0"/>
        <v>-2380692</v>
      </c>
      <c r="I16" s="42"/>
      <c r="J16" s="7">
        <v>1201000</v>
      </c>
      <c r="K16" s="99">
        <f>ROUNDUP(J16/J18,3)</f>
        <v>0.08</v>
      </c>
      <c r="L16" s="42"/>
      <c r="M16" s="140"/>
      <c r="N16" s="10">
        <v>-900000</v>
      </c>
      <c r="O16" s="10">
        <v>1500000</v>
      </c>
      <c r="P16" s="141"/>
      <c r="Q16" s="42"/>
      <c r="R16" s="7">
        <f>J16+N16+O16</f>
        <v>1801000</v>
      </c>
      <c r="S16" s="99">
        <f>ROUNDUP(R16/R18,3)</f>
        <v>0.115</v>
      </c>
      <c r="U16" s="42"/>
    </row>
    <row r="17" spans="2:19" ht="7.5" customHeight="1" x14ac:dyDescent="0.25">
      <c r="B17" s="2"/>
      <c r="C17" s="2"/>
      <c r="E17" s="50"/>
      <c r="F17" s="81"/>
      <c r="H17" s="10"/>
      <c r="J17" s="9"/>
      <c r="K17" s="103"/>
      <c r="M17" s="130"/>
      <c r="P17" s="131"/>
      <c r="R17" s="9"/>
      <c r="S17" s="103"/>
    </row>
    <row r="18" spans="2:19" ht="13.5" thickBot="1" x14ac:dyDescent="0.35">
      <c r="B18" s="22" t="s">
        <v>17</v>
      </c>
      <c r="C18" s="22"/>
      <c r="D18" s="19"/>
      <c r="E18" s="60">
        <f>E10+E16</f>
        <v>17234692</v>
      </c>
      <c r="F18" s="82">
        <f>ROUND(E18/E18,3)</f>
        <v>1</v>
      </c>
      <c r="G18" s="19"/>
      <c r="H18" s="12">
        <f t="shared" si="0"/>
        <v>-2055692</v>
      </c>
      <c r="I18" s="19"/>
      <c r="J18" s="11">
        <f>J10+J16</f>
        <v>15179000</v>
      </c>
      <c r="K18" s="104">
        <f>K10+K16</f>
        <v>0.99999999999999989</v>
      </c>
      <c r="L18" s="19"/>
      <c r="M18" s="142"/>
      <c r="N18" s="12">
        <f>N10+N16</f>
        <v>-900000</v>
      </c>
      <c r="O18" s="12">
        <f>O10+O16</f>
        <v>1500000</v>
      </c>
      <c r="P18" s="143"/>
      <c r="Q18" s="19"/>
      <c r="R18" s="11">
        <f>R10+R16</f>
        <v>15779000</v>
      </c>
      <c r="S18" s="104">
        <f>S10+S16</f>
        <v>1</v>
      </c>
    </row>
    <row r="19" spans="2:19" ht="7.5" customHeight="1" x14ac:dyDescent="0.25">
      <c r="B19" s="2"/>
      <c r="C19" s="2"/>
      <c r="E19" s="50"/>
      <c r="F19" s="61"/>
      <c r="H19" s="10"/>
      <c r="J19" s="9"/>
      <c r="K19" s="94"/>
      <c r="M19" s="130"/>
      <c r="P19" s="131"/>
      <c r="R19" s="9"/>
      <c r="S19" s="94"/>
    </row>
    <row r="20" spans="2:19" x14ac:dyDescent="0.25">
      <c r="B20" s="2"/>
      <c r="C20" s="23" t="s">
        <v>36</v>
      </c>
      <c r="D20" s="24"/>
      <c r="E20" s="58">
        <v>-2054000</v>
      </c>
      <c r="F20" s="62"/>
      <c r="G20" s="24"/>
      <c r="H20" s="124"/>
      <c r="I20" s="24"/>
      <c r="J20" s="26">
        <v>0</v>
      </c>
      <c r="K20" s="150"/>
      <c r="L20" s="135"/>
      <c r="M20" s="134"/>
      <c r="N20" s="24"/>
      <c r="O20" s="24"/>
      <c r="P20" s="135"/>
      <c r="Q20" s="24"/>
      <c r="R20" s="26">
        <v>0</v>
      </c>
      <c r="S20" s="95"/>
    </row>
    <row r="21" spans="2:19" x14ac:dyDescent="0.25">
      <c r="B21" s="2"/>
      <c r="C21" s="123" t="s">
        <v>44</v>
      </c>
      <c r="E21" s="50">
        <v>-3124878.6726669199</v>
      </c>
      <c r="F21" s="64"/>
      <c r="H21" s="10"/>
      <c r="J21" s="9">
        <v>0</v>
      </c>
      <c r="K21" s="94"/>
      <c r="L21" s="131"/>
      <c r="M21" s="130"/>
      <c r="P21" s="131"/>
      <c r="R21" s="9">
        <v>0</v>
      </c>
      <c r="S21" s="105"/>
    </row>
    <row r="22" spans="2:19" x14ac:dyDescent="0.25">
      <c r="B22" s="2"/>
      <c r="C22" s="28" t="s">
        <v>20</v>
      </c>
      <c r="D22" s="29"/>
      <c r="E22" s="59">
        <v>-2582029.61143356</v>
      </c>
      <c r="F22" s="63"/>
      <c r="G22" s="38"/>
      <c r="H22" s="155"/>
      <c r="I22" s="29"/>
      <c r="J22" s="32">
        <v>0</v>
      </c>
      <c r="K22" s="151"/>
      <c r="L22" s="145"/>
      <c r="M22" s="144"/>
      <c r="N22" s="29"/>
      <c r="O22" s="29"/>
      <c r="P22" s="145"/>
      <c r="Q22" s="29"/>
      <c r="R22" s="32">
        <v>0</v>
      </c>
      <c r="S22" s="96"/>
    </row>
    <row r="23" spans="2:19" ht="13" x14ac:dyDescent="0.3">
      <c r="B23" s="1" t="s">
        <v>21</v>
      </c>
      <c r="C23" s="2"/>
      <c r="E23" s="57">
        <f>SUM(E20:E22)</f>
        <v>-7760908.2841004804</v>
      </c>
      <c r="F23" s="64"/>
      <c r="H23" s="8"/>
      <c r="J23" s="7">
        <f>SUM(J20:J22)</f>
        <v>0</v>
      </c>
      <c r="K23" s="94"/>
      <c r="M23" s="130"/>
      <c r="P23" s="131"/>
      <c r="R23" s="7">
        <f>SUM(R20:R22)</f>
        <v>0</v>
      </c>
      <c r="S23" s="94"/>
    </row>
    <row r="24" spans="2:19" x14ac:dyDescent="0.25">
      <c r="B24" s="2"/>
      <c r="C24" s="33" t="s">
        <v>36</v>
      </c>
      <c r="D24" s="34"/>
      <c r="E24" s="49">
        <v>0</v>
      </c>
      <c r="F24" s="120"/>
      <c r="G24" s="34"/>
      <c r="H24" s="152">
        <f>J24-E20</f>
        <v>1945000</v>
      </c>
      <c r="I24" s="34"/>
      <c r="J24" s="36">
        <v>-109000</v>
      </c>
      <c r="K24" s="149"/>
      <c r="L24" s="135"/>
      <c r="M24" s="153"/>
      <c r="N24" s="152">
        <v>0</v>
      </c>
      <c r="O24" s="34"/>
      <c r="P24" s="154"/>
      <c r="Q24" s="34"/>
      <c r="R24" s="36">
        <f>J24+N24+O24+Q24</f>
        <v>-109000</v>
      </c>
      <c r="S24" s="121"/>
    </row>
    <row r="25" spans="2:19" x14ac:dyDescent="0.25">
      <c r="B25" s="2"/>
      <c r="C25" s="122" t="s">
        <v>44</v>
      </c>
      <c r="E25" s="50">
        <v>0</v>
      </c>
      <c r="F25" s="64"/>
      <c r="H25" s="10">
        <f>J25-E21</f>
        <v>-379121.32733308012</v>
      </c>
      <c r="J25" s="9">
        <v>-3504000</v>
      </c>
      <c r="K25" s="94"/>
      <c r="L25" s="131"/>
      <c r="M25" s="130"/>
      <c r="N25" s="10">
        <v>150000</v>
      </c>
      <c r="P25" s="179">
        <f>R25-O25-N25-J25</f>
        <v>705828.88349734154</v>
      </c>
      <c r="Q25" s="180"/>
      <c r="R25" s="9">
        <v>-2648171.1165026585</v>
      </c>
      <c r="S25" s="105"/>
    </row>
    <row r="26" spans="2:19" x14ac:dyDescent="0.25">
      <c r="B26" s="2"/>
      <c r="C26" s="122" t="s">
        <v>20</v>
      </c>
      <c r="E26" s="50">
        <v>0</v>
      </c>
      <c r="F26" s="64"/>
      <c r="H26" s="10">
        <f>J26-E22</f>
        <v>-237970.38856643997</v>
      </c>
      <c r="J26" s="9">
        <v>-2820000</v>
      </c>
      <c r="K26" s="94"/>
      <c r="L26" s="131"/>
      <c r="M26" s="130"/>
      <c r="N26" s="10">
        <v>750000</v>
      </c>
      <c r="P26" s="181">
        <f>R26-O26-N26-J26</f>
        <v>315884.86466075713</v>
      </c>
      <c r="Q26" s="182"/>
      <c r="R26" s="9">
        <v>-1754115.1353392429</v>
      </c>
      <c r="S26" s="105"/>
    </row>
    <row r="27" spans="2:19" x14ac:dyDescent="0.25">
      <c r="B27" s="2"/>
      <c r="C27" s="37" t="s">
        <v>31</v>
      </c>
      <c r="D27" s="38"/>
      <c r="E27" s="117">
        <v>-149000</v>
      </c>
      <c r="F27" s="118"/>
      <c r="G27" s="38"/>
      <c r="H27" s="155">
        <f t="shared" ref="H27" si="1">J27-E27</f>
        <v>12000</v>
      </c>
      <c r="I27" s="38"/>
      <c r="J27" s="40">
        <v>-137000</v>
      </c>
      <c r="K27" s="119"/>
      <c r="L27" s="29"/>
      <c r="M27" s="156"/>
      <c r="N27" s="38"/>
      <c r="O27" s="38"/>
      <c r="P27" s="157"/>
      <c r="Q27" s="38"/>
      <c r="R27" s="40">
        <f t="shared" ref="R27" si="2">J27+N27+O27</f>
        <v>-137000</v>
      </c>
      <c r="S27" s="158"/>
    </row>
    <row r="28" spans="2:19" ht="13" x14ac:dyDescent="0.3">
      <c r="B28" s="1" t="s">
        <v>23</v>
      </c>
      <c r="C28" s="2"/>
      <c r="E28" s="57">
        <f>SUM(E24:E27)</f>
        <v>-149000</v>
      </c>
      <c r="F28" s="64"/>
      <c r="H28" s="8"/>
      <c r="J28" s="7">
        <f>SUM(J24:J27)</f>
        <v>-6570000</v>
      </c>
      <c r="K28" s="94"/>
      <c r="M28" s="130"/>
      <c r="P28" s="131"/>
      <c r="R28" s="7">
        <f>SUM(R24:R27)</f>
        <v>-4648286.2518419009</v>
      </c>
      <c r="S28" s="94"/>
    </row>
    <row r="29" spans="2:19" ht="7.15" customHeight="1" x14ac:dyDescent="0.25">
      <c r="B29" s="2"/>
      <c r="C29" s="2"/>
      <c r="E29" s="50"/>
      <c r="F29" s="64"/>
      <c r="H29" s="10"/>
      <c r="J29" s="9"/>
      <c r="K29" s="94"/>
      <c r="M29" s="130"/>
      <c r="P29" s="131"/>
      <c r="R29" s="9"/>
      <c r="S29" s="94"/>
    </row>
    <row r="30" spans="2:19" ht="13.5" thickBot="1" x14ac:dyDescent="0.35">
      <c r="B30" s="22" t="s">
        <v>24</v>
      </c>
      <c r="C30" s="21"/>
      <c r="D30" s="19"/>
      <c r="E30" s="60">
        <f>E23+E28</f>
        <v>-7909908.2841004804</v>
      </c>
      <c r="F30" s="67"/>
      <c r="G30" s="19"/>
      <c r="H30" s="12">
        <f t="shared" ref="H30" si="3">J30-E30</f>
        <v>1339908.2841004804</v>
      </c>
      <c r="I30" s="19"/>
      <c r="J30" s="11">
        <f>J23+J28</f>
        <v>-6570000</v>
      </c>
      <c r="K30" s="98"/>
      <c r="L30" s="19"/>
      <c r="M30" s="142"/>
      <c r="N30" s="12">
        <f>SUM(N20:N28)</f>
        <v>900000</v>
      </c>
      <c r="O30" s="19"/>
      <c r="P30" s="143"/>
      <c r="Q30" s="19"/>
      <c r="R30" s="11">
        <f>R23+R28</f>
        <v>-4648286.2518419009</v>
      </c>
      <c r="S30" s="98"/>
    </row>
    <row r="31" spans="2:19" ht="7.5" customHeight="1" x14ac:dyDescent="0.3">
      <c r="B31" s="1"/>
      <c r="C31" s="2"/>
      <c r="E31" s="68"/>
      <c r="F31" s="61"/>
      <c r="H31" s="4"/>
      <c r="J31" s="3"/>
      <c r="K31" s="94"/>
      <c r="M31" s="130"/>
      <c r="P31" s="131"/>
      <c r="R31" s="3"/>
      <c r="S31" s="94"/>
    </row>
    <row r="32" spans="2:19" ht="13" x14ac:dyDescent="0.3">
      <c r="B32" s="1" t="s">
        <v>34</v>
      </c>
      <c r="E32" s="57">
        <f>E18+E30</f>
        <v>9324783.7158995196</v>
      </c>
      <c r="F32" s="64"/>
      <c r="H32" s="8">
        <f t="shared" ref="H32" si="4">J32-E32</f>
        <v>-715783.71589951962</v>
      </c>
      <c r="J32" s="7">
        <f>J18+J30</f>
        <v>8609000</v>
      </c>
      <c r="K32" s="94"/>
      <c r="M32" s="130"/>
      <c r="O32" s="8">
        <f>O18+O30</f>
        <v>1500000</v>
      </c>
      <c r="P32" s="131"/>
      <c r="R32" s="7">
        <f>R18+R30</f>
        <v>11130713.748158099</v>
      </c>
      <c r="S32" s="94"/>
    </row>
    <row r="33" spans="2:21" ht="7.5" customHeight="1" x14ac:dyDescent="0.25">
      <c r="B33" s="2"/>
      <c r="C33" s="2"/>
      <c r="E33" s="50"/>
      <c r="F33" s="64"/>
      <c r="H33" s="10"/>
      <c r="J33" s="9"/>
      <c r="K33" s="94"/>
      <c r="M33" s="130"/>
      <c r="P33" s="131"/>
      <c r="R33" s="9"/>
      <c r="S33" s="94"/>
    </row>
    <row r="34" spans="2:21" ht="13" x14ac:dyDescent="0.3">
      <c r="B34" s="1" t="s">
        <v>33</v>
      </c>
      <c r="C34" s="1"/>
      <c r="E34" s="69">
        <v>1320300</v>
      </c>
      <c r="F34" s="64"/>
      <c r="H34" s="87">
        <f t="shared" ref="H34" si="5">J34-E34</f>
        <v>0</v>
      </c>
      <c r="J34" s="13">
        <v>1320300</v>
      </c>
      <c r="K34" s="94"/>
      <c r="M34" s="130"/>
      <c r="O34" s="87">
        <v>2542372.8813559324</v>
      </c>
      <c r="P34" s="131"/>
      <c r="R34" s="13">
        <f>J34+N34+O34</f>
        <v>3862672.8813559324</v>
      </c>
      <c r="S34" s="94"/>
    </row>
    <row r="35" spans="2:21" ht="7.5" customHeight="1" x14ac:dyDescent="0.25">
      <c r="B35" s="2"/>
      <c r="C35" s="2"/>
      <c r="E35" s="50"/>
      <c r="F35" s="64"/>
      <c r="H35" s="10"/>
      <c r="J35" s="9"/>
      <c r="K35" s="94"/>
      <c r="M35" s="130"/>
      <c r="P35" s="131"/>
      <c r="R35" s="9"/>
      <c r="S35" s="94"/>
    </row>
    <row r="36" spans="2:21" ht="13" x14ac:dyDescent="0.3">
      <c r="B36" s="1" t="s">
        <v>27</v>
      </c>
      <c r="C36" s="2"/>
      <c r="E36" s="70">
        <f>ROUND(E32/E34,2)</f>
        <v>7.06</v>
      </c>
      <c r="F36" s="71"/>
      <c r="H36" s="116">
        <f t="shared" ref="H36" si="6">J36-E36</f>
        <v>-0.54</v>
      </c>
      <c r="J36" s="72">
        <f>ROUND(J32/J34,2)</f>
        <v>6.52</v>
      </c>
      <c r="K36" s="83"/>
      <c r="M36" s="130"/>
      <c r="P36" s="131"/>
      <c r="R36" s="72">
        <f>ROUND(R32/R34,2)</f>
        <v>2.88</v>
      </c>
      <c r="S36" s="83"/>
    </row>
    <row r="37" spans="2:21" ht="6.75" customHeight="1" x14ac:dyDescent="0.25">
      <c r="M37" s="130"/>
      <c r="P37" s="131"/>
    </row>
    <row r="38" spans="2:21" ht="15" x14ac:dyDescent="0.3">
      <c r="B38" s="1" t="s">
        <v>51</v>
      </c>
      <c r="C38" s="2"/>
      <c r="E38" s="70">
        <f>ROUND((E32-E22)/(E34+(2998604/4.37)),2)</f>
        <v>5.93</v>
      </c>
      <c r="F38" s="71"/>
      <c r="H38" s="116">
        <f t="shared" ref="H38" si="7">J38-E38</f>
        <v>-0.22999999999999954</v>
      </c>
      <c r="J38" s="72">
        <f>ROUND((J32-J26)/(J34+(2998604/4.37)),2)</f>
        <v>5.7</v>
      </c>
      <c r="K38" s="83"/>
      <c r="M38" s="130"/>
      <c r="P38" s="131"/>
      <c r="R38" s="72">
        <f>ROUND((R32-R26)/(R34+((2998604-750000)/2.21)),2)</f>
        <v>2.64</v>
      </c>
      <c r="S38" s="83"/>
    </row>
    <row r="39" spans="2:21" ht="6.75" customHeight="1" x14ac:dyDescent="0.25">
      <c r="M39" s="146"/>
      <c r="N39" s="147"/>
      <c r="O39" s="147"/>
      <c r="P39" s="148"/>
    </row>
    <row r="40" spans="2:21" ht="102.75" customHeight="1" x14ac:dyDescent="0.25">
      <c r="B40" s="56" t="s">
        <v>52</v>
      </c>
      <c r="C40" s="171" t="s">
        <v>53</v>
      </c>
      <c r="D40" s="171"/>
      <c r="E40" s="171"/>
      <c r="F40" s="171"/>
      <c r="G40" s="171"/>
      <c r="H40" s="171"/>
      <c r="I40" s="171"/>
      <c r="J40" s="171"/>
      <c r="K40" s="171"/>
      <c r="L40" s="171"/>
      <c r="M40" s="171"/>
      <c r="N40" s="171"/>
      <c r="O40" s="171"/>
      <c r="P40" s="171"/>
      <c r="Q40" s="171"/>
      <c r="R40" s="171"/>
      <c r="S40" s="171"/>
      <c r="T40" s="56"/>
      <c r="U40" s="56"/>
    </row>
  </sheetData>
  <mergeCells count="12">
    <mergeCell ref="P25:Q25"/>
    <mergeCell ref="P26:Q26"/>
    <mergeCell ref="C40:S40"/>
    <mergeCell ref="E7:F7"/>
    <mergeCell ref="J7:K7"/>
    <mergeCell ref="R7:S7"/>
    <mergeCell ref="E8:F8"/>
    <mergeCell ref="J8:K8"/>
    <mergeCell ref="R8:S8"/>
    <mergeCell ref="N7:O7"/>
    <mergeCell ref="N8:N9"/>
    <mergeCell ref="O8:O9"/>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6B835-E944-4EDC-BB52-F0A5C76744A1}">
  <sheetPr>
    <pageSetUpPr fitToPage="1"/>
  </sheetPr>
  <dimension ref="B3:O38"/>
  <sheetViews>
    <sheetView showGridLines="0" zoomScaleNormal="100" workbookViewId="0"/>
  </sheetViews>
  <sheetFormatPr defaultColWidth="8.81640625" defaultRowHeight="12.5" x14ac:dyDescent="0.25"/>
  <cols>
    <col min="1" max="1" width="4.54296875" style="6" customWidth="1"/>
    <col min="2" max="2" width="2.7265625" style="6" customWidth="1"/>
    <col min="3" max="3" width="29.1796875" style="6" customWidth="1"/>
    <col min="4" max="4" width="1.7265625" style="6" customWidth="1"/>
    <col min="5" max="5" width="10.54296875" style="6" customWidth="1"/>
    <col min="6" max="6" width="8.453125" style="6" customWidth="1"/>
    <col min="7" max="7" width="1.26953125" style="6" customWidth="1"/>
    <col min="8" max="8" width="10.54296875" style="6" customWidth="1"/>
    <col min="9" max="9" width="8.453125" style="6" customWidth="1"/>
    <col min="10" max="10" width="1.26953125" style="6" customWidth="1"/>
    <col min="11" max="11" width="10.54296875" style="6" customWidth="1"/>
    <col min="12" max="12" width="8.453125" style="6" customWidth="1"/>
    <col min="13" max="13" width="1.26953125" style="6" customWidth="1"/>
    <col min="14" max="14" width="10" style="6" customWidth="1"/>
    <col min="15" max="15" width="1.26953125" style="6" customWidth="1"/>
    <col min="16" max="16384" width="8.81640625" style="6"/>
  </cols>
  <sheetData>
    <row r="3" spans="2:15" ht="16.149999999999999" customHeight="1" x14ac:dyDescent="0.3">
      <c r="J3" s="55"/>
      <c r="L3" s="55"/>
      <c r="M3" s="55"/>
      <c r="N3" s="5" t="s">
        <v>38</v>
      </c>
      <c r="O3" s="55"/>
    </row>
    <row r="4" spans="2:15" ht="13" x14ac:dyDescent="0.3">
      <c r="B4" s="1"/>
    </row>
    <row r="5" spans="2:15" ht="13" x14ac:dyDescent="0.3">
      <c r="B5" s="1"/>
    </row>
    <row r="7" spans="2:15" ht="13.5" thickBot="1" x14ac:dyDescent="0.35">
      <c r="E7" s="172" t="s">
        <v>1</v>
      </c>
      <c r="F7" s="172"/>
      <c r="H7" s="173" t="s">
        <v>2</v>
      </c>
      <c r="I7" s="173"/>
      <c r="K7" s="174" t="s">
        <v>1</v>
      </c>
      <c r="L7" s="174"/>
      <c r="N7" s="85" t="s">
        <v>4</v>
      </c>
    </row>
    <row r="8" spans="2:15" ht="13" x14ac:dyDescent="0.3">
      <c r="B8" s="1"/>
      <c r="C8" s="2"/>
      <c r="E8" s="175" t="s">
        <v>7</v>
      </c>
      <c r="F8" s="176"/>
      <c r="H8" s="177" t="s">
        <v>43</v>
      </c>
      <c r="I8" s="177"/>
      <c r="K8" s="178" t="s">
        <v>39</v>
      </c>
      <c r="L8" s="178"/>
      <c r="N8" s="86" t="s">
        <v>40</v>
      </c>
    </row>
    <row r="9" spans="2:15" s="108" customFormat="1" ht="15.75" customHeight="1" x14ac:dyDescent="0.35">
      <c r="B9" s="106"/>
      <c r="C9" s="107"/>
      <c r="E9" s="109" t="s">
        <v>9</v>
      </c>
      <c r="F9" s="110"/>
      <c r="H9" s="113" t="s">
        <v>9</v>
      </c>
      <c r="I9" s="111"/>
      <c r="K9" s="114" t="s">
        <v>9</v>
      </c>
      <c r="L9" s="112"/>
      <c r="N9" s="115" t="s">
        <v>9</v>
      </c>
    </row>
    <row r="10" spans="2:15" ht="13" x14ac:dyDescent="0.3">
      <c r="B10" s="1" t="s">
        <v>10</v>
      </c>
      <c r="C10" s="1"/>
      <c r="E10" s="57">
        <f>ROUNDDOWN(SUM(E11:E14),-3)</f>
        <v>18657000</v>
      </c>
      <c r="F10" s="77">
        <f>SUM(F11:F14)</f>
        <v>0.99600000000000011</v>
      </c>
      <c r="H10" s="17">
        <f>ROUNDDOWN(SUM(H11:H14),-3)</f>
        <v>19069000</v>
      </c>
      <c r="I10" s="43">
        <f>SUM(I11:I14)</f>
        <v>0.99600000000000011</v>
      </c>
      <c r="K10" s="7">
        <f>ROUNDUP(SUM(K11:K14),-3)</f>
        <v>13653000</v>
      </c>
      <c r="L10" s="99">
        <f>SUM(L11:L14)</f>
        <v>0.79200000000000004</v>
      </c>
      <c r="N10" s="8"/>
    </row>
    <row r="11" spans="2:15" ht="15.75" customHeight="1" x14ac:dyDescent="0.3">
      <c r="B11" s="1"/>
      <c r="C11" s="23" t="s">
        <v>11</v>
      </c>
      <c r="D11" s="24"/>
      <c r="E11" s="58">
        <v>9265925.1681006197</v>
      </c>
      <c r="F11" s="78">
        <f>ROUNDUP(E11/E19,3)</f>
        <v>0.495</v>
      </c>
      <c r="G11" s="24"/>
      <c r="H11" s="25">
        <f>ROUNDUP(10291917.8787314,-3)</f>
        <v>10292000</v>
      </c>
      <c r="I11" s="44">
        <f>ROUNDUP(H11/H19,3)</f>
        <v>0.53800000000000003</v>
      </c>
      <c r="J11" s="24"/>
      <c r="K11" s="26">
        <v>3640078.44</v>
      </c>
      <c r="L11" s="100">
        <f>ROUND(K11/K19,3)</f>
        <v>0.21099999999999999</v>
      </c>
      <c r="M11" s="92"/>
      <c r="N11" s="10">
        <f>K11-E11</f>
        <v>-5625846.7281006202</v>
      </c>
    </row>
    <row r="12" spans="2:15" ht="15.75" customHeight="1" x14ac:dyDescent="0.3">
      <c r="B12" s="1"/>
      <c r="C12" s="27" t="s">
        <v>12</v>
      </c>
      <c r="E12" s="50">
        <v>8282455.1883191401</v>
      </c>
      <c r="F12" s="79">
        <f>ROUND(E12/E19,3)</f>
        <v>0.442</v>
      </c>
      <c r="H12" s="15">
        <f>ROUNDUP(7878676.89285834,-3)</f>
        <v>7879000</v>
      </c>
      <c r="I12" s="45">
        <f>ROUND(H12/H19,3)</f>
        <v>0.41099999999999998</v>
      </c>
      <c r="K12" s="9">
        <v>9044614.8174738307</v>
      </c>
      <c r="L12" s="101">
        <f>ROUND(K12/K19,3)</f>
        <v>0.52500000000000002</v>
      </c>
      <c r="M12" s="92"/>
      <c r="N12" s="10">
        <f>K12-E12</f>
        <v>762159.62915469054</v>
      </c>
    </row>
    <row r="13" spans="2:15" ht="15.75" customHeight="1" x14ac:dyDescent="0.3">
      <c r="B13" s="1"/>
      <c r="C13" s="27" t="s">
        <v>13</v>
      </c>
      <c r="E13" s="50">
        <v>672247.814076607</v>
      </c>
      <c r="F13" s="79">
        <f>ROUND(E13/E19,3)</f>
        <v>3.5999999999999997E-2</v>
      </c>
      <c r="H13" s="15">
        <f>ROUNDUP(853560.491261498,-3)</f>
        <v>854000</v>
      </c>
      <c r="I13" s="45">
        <f>ROUND(H13/H19,3)</f>
        <v>4.4999999999999998E-2</v>
      </c>
      <c r="K13" s="9">
        <f>ROUNDUP(930455.439457928,-3)</f>
        <v>931000</v>
      </c>
      <c r="L13" s="101">
        <f>ROUND(K13/K19,3)</f>
        <v>5.3999999999999999E-2</v>
      </c>
      <c r="M13" s="92"/>
      <c r="N13" s="10">
        <f>K13-E13</f>
        <v>258752.185923393</v>
      </c>
    </row>
    <row r="14" spans="2:15" ht="15.75" customHeight="1" x14ac:dyDescent="0.3">
      <c r="B14" s="1"/>
      <c r="C14" s="28" t="s">
        <v>14</v>
      </c>
      <c r="D14" s="30"/>
      <c r="E14" s="59">
        <v>437176.88592534198</v>
      </c>
      <c r="F14" s="80">
        <f>ROUND(E14/E19,3)</f>
        <v>2.3E-2</v>
      </c>
      <c r="G14" s="30"/>
      <c r="H14" s="31">
        <f>ROUNDUP(43600.656,-3)</f>
        <v>44000</v>
      </c>
      <c r="I14" s="46">
        <f>ROUND(H14/H19,3)</f>
        <v>2E-3</v>
      </c>
      <c r="J14" s="30"/>
      <c r="K14" s="32">
        <v>36670.671000000002</v>
      </c>
      <c r="L14" s="102">
        <f>ROUND(K14/K19,3)</f>
        <v>2E-3</v>
      </c>
      <c r="M14" s="93"/>
      <c r="N14" s="10">
        <f>K14-E14</f>
        <v>-400506.21492534201</v>
      </c>
      <c r="O14" s="14"/>
    </row>
    <row r="15" spans="2:15" ht="7.5" customHeight="1" x14ac:dyDescent="0.3">
      <c r="B15" s="1"/>
      <c r="C15" s="2"/>
      <c r="D15" s="14"/>
      <c r="E15" s="50"/>
      <c r="F15" s="79"/>
      <c r="G15" s="14"/>
      <c r="H15" s="15"/>
      <c r="I15" s="45"/>
      <c r="J15" s="14"/>
      <c r="K15" s="9"/>
      <c r="L15" s="103"/>
      <c r="M15" s="14"/>
      <c r="N15" s="10"/>
      <c r="O15" s="14"/>
    </row>
    <row r="16" spans="2:15" ht="13" x14ac:dyDescent="0.3">
      <c r="B16" s="1" t="s">
        <v>35</v>
      </c>
      <c r="C16" s="1"/>
      <c r="D16" s="42"/>
      <c r="E16" s="57">
        <v>83000</v>
      </c>
      <c r="F16" s="77">
        <f>ROUNDDOWN(E16/E19,3)</f>
        <v>4.0000000000000001E-3</v>
      </c>
      <c r="G16" s="42"/>
      <c r="H16" s="17">
        <v>48000</v>
      </c>
      <c r="I16" s="43">
        <f>ROUNDDOWN(H16/H19,3)</f>
        <v>2E-3</v>
      </c>
      <c r="J16" s="42"/>
      <c r="K16" s="7">
        <v>3581692</v>
      </c>
      <c r="L16" s="99">
        <f>ROUND(K16/K19,3)</f>
        <v>0.20799999999999999</v>
      </c>
      <c r="M16" s="42"/>
      <c r="N16" s="8">
        <f>K16-E16</f>
        <v>3498692</v>
      </c>
      <c r="O16" s="42"/>
    </row>
    <row r="17" spans="2:15" ht="12.75" customHeight="1" x14ac:dyDescent="0.3">
      <c r="B17" s="1" t="s">
        <v>16</v>
      </c>
      <c r="C17" s="1"/>
      <c r="D17" s="41"/>
      <c r="E17" s="57">
        <v>0</v>
      </c>
      <c r="F17" s="77">
        <f>ROUND(E17/E19,3)</f>
        <v>0</v>
      </c>
      <c r="G17" s="41"/>
      <c r="H17" s="17">
        <v>32000</v>
      </c>
      <c r="I17" s="43">
        <f>ROUND(H17/H19,3)</f>
        <v>2E-3</v>
      </c>
      <c r="J17" s="41"/>
      <c r="K17" s="7">
        <f>ROUNDDOWN(200,-3)</f>
        <v>0</v>
      </c>
      <c r="L17" s="99">
        <f>ROUND(K17/$K$19,3)</f>
        <v>0</v>
      </c>
      <c r="M17" s="41"/>
      <c r="N17" s="8">
        <f>K17-E17</f>
        <v>0</v>
      </c>
      <c r="O17" s="41"/>
    </row>
    <row r="18" spans="2:15" ht="7.5" customHeight="1" x14ac:dyDescent="0.25">
      <c r="B18" s="2"/>
      <c r="C18" s="2"/>
      <c r="E18" s="50"/>
      <c r="F18" s="81"/>
      <c r="H18" s="15"/>
      <c r="I18" s="45"/>
      <c r="K18" s="9"/>
      <c r="L18" s="103"/>
      <c r="N18" s="10"/>
    </row>
    <row r="19" spans="2:15" ht="13.5" thickBot="1" x14ac:dyDescent="0.35">
      <c r="B19" s="22" t="s">
        <v>17</v>
      </c>
      <c r="C19" s="22"/>
      <c r="D19" s="19"/>
      <c r="E19" s="60">
        <f>E10+E16+E17</f>
        <v>18740000</v>
      </c>
      <c r="F19" s="82">
        <f>ROUND(E19/E19,3)</f>
        <v>1</v>
      </c>
      <c r="G19" s="19"/>
      <c r="H19" s="20">
        <f>H10+H16+H17</f>
        <v>19149000</v>
      </c>
      <c r="I19" s="48">
        <f>ROUND(H19/H19,3)</f>
        <v>1</v>
      </c>
      <c r="J19" s="19"/>
      <c r="K19" s="11">
        <f>K10+K16+K17</f>
        <v>17234692</v>
      </c>
      <c r="L19" s="104">
        <f>ROUND(K19/K19,3)</f>
        <v>1</v>
      </c>
      <c r="N19" s="12">
        <f>K19-E19</f>
        <v>-1505308</v>
      </c>
    </row>
    <row r="20" spans="2:15" ht="7.5" customHeight="1" x14ac:dyDescent="0.25">
      <c r="B20" s="2"/>
      <c r="C20" s="2"/>
      <c r="E20" s="50"/>
      <c r="F20" s="61"/>
      <c r="H20" s="15"/>
      <c r="I20" s="75"/>
      <c r="K20" s="9"/>
      <c r="L20" s="94"/>
      <c r="N20" s="10"/>
    </row>
    <row r="21" spans="2:15" x14ac:dyDescent="0.25">
      <c r="B21" s="2"/>
      <c r="C21" s="23" t="s">
        <v>36</v>
      </c>
      <c r="D21" s="24"/>
      <c r="E21" s="58">
        <v>-2477769.1199244699</v>
      </c>
      <c r="F21" s="62"/>
      <c r="G21" s="24"/>
      <c r="H21" s="25">
        <v>-2607000</v>
      </c>
      <c r="I21" s="88"/>
      <c r="J21" s="24"/>
      <c r="K21" s="26">
        <v>-2054000</v>
      </c>
      <c r="L21" s="95"/>
      <c r="M21" s="92"/>
      <c r="N21" s="10">
        <f>K21-E21</f>
        <v>423769.11992446985</v>
      </c>
    </row>
    <row r="22" spans="2:15" x14ac:dyDescent="0.25">
      <c r="B22" s="2"/>
      <c r="C22" s="27" t="s">
        <v>37</v>
      </c>
      <c r="E22" s="50">
        <v>-2667414.80242514</v>
      </c>
      <c r="F22" s="64"/>
      <c r="H22" s="15">
        <v>-2823000</v>
      </c>
      <c r="I22" s="75"/>
      <c r="K22" s="9">
        <v>-3124878.6726669199</v>
      </c>
      <c r="L22" s="105"/>
      <c r="M22" s="92"/>
      <c r="N22" s="10">
        <f>ROUNDUP(K22-E22,-3)</f>
        <v>-458000</v>
      </c>
    </row>
    <row r="23" spans="2:15" x14ac:dyDescent="0.25">
      <c r="B23" s="2"/>
      <c r="C23" s="28" t="s">
        <v>20</v>
      </c>
      <c r="D23" s="29"/>
      <c r="E23" s="59">
        <v>-2375972.6213685302</v>
      </c>
      <c r="F23" s="63"/>
      <c r="G23" s="29"/>
      <c r="H23" s="31">
        <v>-2476000</v>
      </c>
      <c r="I23" s="89"/>
      <c r="J23" s="29"/>
      <c r="K23" s="32">
        <v>-2582029.61143356</v>
      </c>
      <c r="L23" s="96"/>
      <c r="M23" s="92"/>
      <c r="N23" s="10">
        <f t="shared" ref="N23" si="0">K23-E23</f>
        <v>-206056.99006502982</v>
      </c>
    </row>
    <row r="24" spans="2:15" ht="13" x14ac:dyDescent="0.3">
      <c r="B24" s="1" t="s">
        <v>21</v>
      </c>
      <c r="C24" s="2"/>
      <c r="E24" s="57">
        <f>SUM(E21:E23)</f>
        <v>-7521156.5437181396</v>
      </c>
      <c r="F24" s="64"/>
      <c r="H24" s="17">
        <f>SUM(H21:H23)</f>
        <v>-7906000</v>
      </c>
      <c r="I24" s="75"/>
      <c r="K24" s="7">
        <f>SUM(K21:K23)</f>
        <v>-7760908.2841004804</v>
      </c>
      <c r="L24" s="94"/>
      <c r="N24" s="8"/>
    </row>
    <row r="25" spans="2:15" x14ac:dyDescent="0.25">
      <c r="B25" s="2"/>
      <c r="C25" s="51" t="s">
        <v>31</v>
      </c>
      <c r="D25" s="52"/>
      <c r="E25" s="65">
        <v>-165639.069615949</v>
      </c>
      <c r="F25" s="66"/>
      <c r="G25" s="52"/>
      <c r="H25" s="53">
        <v>-156999.19136612001</v>
      </c>
      <c r="I25" s="90"/>
      <c r="J25" s="91"/>
      <c r="K25" s="54">
        <f>ROUNDUP(-148310.576010989,-3)</f>
        <v>-149000</v>
      </c>
      <c r="L25" s="97"/>
      <c r="M25" s="92"/>
      <c r="N25" s="10">
        <f>K25-E25</f>
        <v>16639.069615949003</v>
      </c>
    </row>
    <row r="26" spans="2:15" ht="13" x14ac:dyDescent="0.3">
      <c r="B26" s="1" t="s">
        <v>23</v>
      </c>
      <c r="C26" s="2"/>
      <c r="E26" s="57">
        <f>SUM(E25)</f>
        <v>-165639.069615949</v>
      </c>
      <c r="F26" s="64"/>
      <c r="H26" s="17">
        <f>SUM(H25)</f>
        <v>-156999.19136612001</v>
      </c>
      <c r="I26" s="75"/>
      <c r="K26" s="7">
        <f>SUM(K25)</f>
        <v>-149000</v>
      </c>
      <c r="L26" s="94"/>
      <c r="N26" s="8"/>
    </row>
    <row r="27" spans="2:15" ht="7.15" customHeight="1" x14ac:dyDescent="0.25">
      <c r="B27" s="2"/>
      <c r="C27" s="2"/>
      <c r="E27" s="50"/>
      <c r="F27" s="64"/>
      <c r="H27" s="15"/>
      <c r="I27" s="75"/>
      <c r="K27" s="9"/>
      <c r="L27" s="94"/>
      <c r="N27" s="10"/>
    </row>
    <row r="28" spans="2:15" ht="13.5" thickBot="1" x14ac:dyDescent="0.35">
      <c r="B28" s="22" t="s">
        <v>24</v>
      </c>
      <c r="C28" s="21"/>
      <c r="D28" s="19"/>
      <c r="E28" s="60">
        <f>E24+E26</f>
        <v>-7686795.6133340886</v>
      </c>
      <c r="F28" s="67"/>
      <c r="G28" s="19"/>
      <c r="H28" s="20">
        <f>H24+H26</f>
        <v>-8062999.1913661202</v>
      </c>
      <c r="I28" s="76"/>
      <c r="J28" s="19"/>
      <c r="K28" s="11">
        <f>K24+K26</f>
        <v>-7909908.2841004804</v>
      </c>
      <c r="L28" s="98"/>
      <c r="N28" s="12">
        <f>K28-E28</f>
        <v>-223112.67076639179</v>
      </c>
    </row>
    <row r="29" spans="2:15" ht="7.5" customHeight="1" x14ac:dyDescent="0.3">
      <c r="B29" s="1"/>
      <c r="C29" s="2"/>
      <c r="E29" s="68"/>
      <c r="F29" s="61"/>
      <c r="H29" s="18"/>
      <c r="I29" s="75"/>
      <c r="K29" s="3"/>
      <c r="L29" s="94"/>
      <c r="N29" s="4"/>
    </row>
    <row r="30" spans="2:15" ht="13" x14ac:dyDescent="0.3">
      <c r="B30" s="1" t="s">
        <v>34</v>
      </c>
      <c r="E30" s="57">
        <f>E19+E28</f>
        <v>11053204.38666591</v>
      </c>
      <c r="F30" s="64"/>
      <c r="H30" s="17">
        <f>H19+H28</f>
        <v>11086000.808633879</v>
      </c>
      <c r="I30" s="75"/>
      <c r="K30" s="7">
        <f>K19+K28</f>
        <v>9324783.7158995196</v>
      </c>
      <c r="L30" s="94"/>
      <c r="N30" s="8">
        <f t="shared" ref="N30" si="1">K30-H30</f>
        <v>-1761217.0927343592</v>
      </c>
    </row>
    <row r="31" spans="2:15" ht="7.5" customHeight="1" x14ac:dyDescent="0.25">
      <c r="B31" s="2"/>
      <c r="C31" s="2"/>
      <c r="E31" s="50"/>
      <c r="F31" s="64"/>
      <c r="H31" s="15"/>
      <c r="I31" s="75"/>
      <c r="K31" s="9"/>
      <c r="L31" s="94"/>
      <c r="N31" s="10"/>
    </row>
    <row r="32" spans="2:15" ht="13" x14ac:dyDescent="0.3">
      <c r="B32" s="1" t="s">
        <v>33</v>
      </c>
      <c r="C32" s="1"/>
      <c r="E32" s="69">
        <v>1320300</v>
      </c>
      <c r="F32" s="64"/>
      <c r="H32" s="16">
        <v>1320300</v>
      </c>
      <c r="I32" s="75"/>
      <c r="K32" s="13">
        <v>1320300</v>
      </c>
      <c r="L32" s="94"/>
      <c r="N32" s="87">
        <f>K32-E32</f>
        <v>0</v>
      </c>
    </row>
    <row r="33" spans="2:15" ht="7.5" customHeight="1" x14ac:dyDescent="0.25">
      <c r="B33" s="2"/>
      <c r="C33" s="2"/>
      <c r="E33" s="50"/>
      <c r="F33" s="64"/>
      <c r="H33" s="15"/>
      <c r="I33" s="75"/>
      <c r="K33" s="9"/>
      <c r="L33" s="94"/>
      <c r="N33" s="10"/>
    </row>
    <row r="34" spans="2:15" ht="13" x14ac:dyDescent="0.3">
      <c r="B34" s="1" t="s">
        <v>27</v>
      </c>
      <c r="C34" s="2"/>
      <c r="E34" s="70">
        <f>ROUND(E30/E32,2)</f>
        <v>8.3699999999999992</v>
      </c>
      <c r="F34" s="71"/>
      <c r="H34" s="73">
        <f>ROUND(H30/H32,2)</f>
        <v>8.4</v>
      </c>
      <c r="I34" s="74"/>
      <c r="K34" s="72">
        <f>ROUND(K30/K32,2)</f>
        <v>7.06</v>
      </c>
      <c r="L34" s="83"/>
      <c r="N34" s="116">
        <f>K34-E34</f>
        <v>-1.3099999999999996</v>
      </c>
    </row>
    <row r="35" spans="2:15" ht="6.75" customHeight="1" x14ac:dyDescent="0.25"/>
    <row r="36" spans="2:15" ht="15" x14ac:dyDescent="0.3">
      <c r="B36" s="1" t="s">
        <v>32</v>
      </c>
      <c r="C36" s="2"/>
      <c r="E36" s="70">
        <f>ROUND((E30-E23)/(E32+(2998604/4.37)),2)</f>
        <v>6.69</v>
      </c>
      <c r="F36" s="71"/>
      <c r="H36" s="73">
        <f>ROUND((H30-H23)/(H32+(2998604/4.37)),2)</f>
        <v>6.76</v>
      </c>
      <c r="I36" s="74"/>
      <c r="K36" s="72">
        <f>ROUND((K30-K23)/(K32+(2998604/4.37)),2)</f>
        <v>5.93</v>
      </c>
      <c r="L36" s="83"/>
      <c r="N36" s="116">
        <f>K36-E36</f>
        <v>-0.76000000000000068</v>
      </c>
    </row>
    <row r="37" spans="2:15" ht="6.75" customHeight="1" x14ac:dyDescent="0.25"/>
    <row r="38" spans="2:15" ht="82.5" customHeight="1" x14ac:dyDescent="0.25">
      <c r="B38" s="171" t="s">
        <v>41</v>
      </c>
      <c r="C38" s="171"/>
      <c r="D38" s="171"/>
      <c r="E38" s="171"/>
      <c r="F38" s="171"/>
      <c r="G38" s="171"/>
      <c r="H38" s="171"/>
      <c r="I38" s="171"/>
      <c r="J38" s="171"/>
      <c r="K38" s="171"/>
      <c r="L38" s="171"/>
      <c r="M38" s="171"/>
      <c r="N38" s="171"/>
      <c r="O38" s="56"/>
    </row>
  </sheetData>
  <mergeCells count="7">
    <mergeCell ref="B38:N38"/>
    <mergeCell ref="E7:F7"/>
    <mergeCell ref="H7:I7"/>
    <mergeCell ref="K7:L7"/>
    <mergeCell ref="E8:F8"/>
    <mergeCell ref="H8:I8"/>
    <mergeCell ref="K8:L8"/>
  </mergeCells>
  <pageMargins left="0.70866141732283472" right="0.70866141732283472" top="0.74803149606299213" bottom="0.74803149606299213" header="0.31496062992125984" footer="0.31496062992125984"/>
  <pageSetup paperSize="9" orientation="landscape" r:id="rId1"/>
  <ignoredErrors>
    <ignoredError sqref="N22"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A70AC-E06B-4E24-8547-4E3A6B95A794}">
  <sheetPr>
    <pageSetUpPr fitToPage="1"/>
  </sheetPr>
  <dimension ref="B3:P36"/>
  <sheetViews>
    <sheetView showGridLines="0" zoomScaleNormal="100" workbookViewId="0"/>
  </sheetViews>
  <sheetFormatPr defaultColWidth="8.81640625" defaultRowHeight="12.5" x14ac:dyDescent="0.25"/>
  <cols>
    <col min="1" max="1" width="4.54296875" style="6" customWidth="1"/>
    <col min="2" max="2" width="3.7265625" style="6" customWidth="1"/>
    <col min="3" max="3" width="23.7265625" style="6" customWidth="1"/>
    <col min="4" max="4" width="13.26953125" style="6" customWidth="1"/>
    <col min="5" max="5" width="1.7265625" style="6" customWidth="1"/>
    <col min="6" max="6" width="11.54296875" style="6" customWidth="1"/>
    <col min="7" max="7" width="9.1796875" style="6" customWidth="1"/>
    <col min="8" max="8" width="1.26953125" style="6" customWidth="1"/>
    <col min="9" max="9" width="11.54296875" style="6" customWidth="1"/>
    <col min="10" max="10" width="9.1796875" style="6" customWidth="1"/>
    <col min="11" max="11" width="1.26953125" style="6" customWidth="1"/>
    <col min="12" max="12" width="11.54296875" style="6" customWidth="1"/>
    <col min="13" max="13" width="9.1796875" style="6" customWidth="1"/>
    <col min="14" max="14" width="1.26953125" style="6" customWidth="1"/>
    <col min="15" max="15" width="10.7265625" style="6" customWidth="1"/>
    <col min="16" max="16" width="1.26953125" style="6" customWidth="1"/>
    <col min="17" max="16384" width="8.81640625" style="6"/>
  </cols>
  <sheetData>
    <row r="3" spans="2:16" ht="16.149999999999999" customHeight="1" x14ac:dyDescent="0.3">
      <c r="K3" s="55"/>
      <c r="M3" s="55"/>
      <c r="N3" s="55"/>
      <c r="O3" s="5" t="s">
        <v>0</v>
      </c>
      <c r="P3" s="55"/>
    </row>
    <row r="4" spans="2:16" ht="13" x14ac:dyDescent="0.3">
      <c r="B4" s="1"/>
    </row>
    <row r="5" spans="2:16" ht="13" x14ac:dyDescent="0.3">
      <c r="B5" s="1"/>
    </row>
    <row r="7" spans="2:16" ht="15.5" thickBot="1" x14ac:dyDescent="0.35">
      <c r="F7" s="172" t="s">
        <v>1</v>
      </c>
      <c r="G7" s="172"/>
      <c r="I7" s="173" t="s">
        <v>2</v>
      </c>
      <c r="J7" s="173"/>
      <c r="L7" s="174" t="s">
        <v>3</v>
      </c>
      <c r="M7" s="174"/>
      <c r="O7" s="85" t="s">
        <v>4</v>
      </c>
    </row>
    <row r="8" spans="2:16" ht="13" x14ac:dyDescent="0.3">
      <c r="B8" s="1"/>
      <c r="C8" s="2"/>
      <c r="F8" s="175" t="s">
        <v>5</v>
      </c>
      <c r="G8" s="176"/>
      <c r="I8" s="177" t="s">
        <v>6</v>
      </c>
      <c r="J8" s="177"/>
      <c r="L8" s="178" t="s">
        <v>7</v>
      </c>
      <c r="M8" s="178"/>
      <c r="O8" s="86" t="s">
        <v>8</v>
      </c>
    </row>
    <row r="9" spans="2:16" s="108" customFormat="1" ht="15.75" customHeight="1" x14ac:dyDescent="0.35">
      <c r="B9" s="106"/>
      <c r="C9" s="107"/>
      <c r="F9" s="109" t="s">
        <v>9</v>
      </c>
      <c r="G9" s="110"/>
      <c r="I9" s="113" t="s">
        <v>9</v>
      </c>
      <c r="J9" s="111"/>
      <c r="L9" s="114" t="s">
        <v>9</v>
      </c>
      <c r="M9" s="112"/>
      <c r="O9" s="115" t="s">
        <v>9</v>
      </c>
    </row>
    <row r="10" spans="2:16" ht="13" x14ac:dyDescent="0.3">
      <c r="B10" s="1" t="s">
        <v>10</v>
      </c>
      <c r="C10" s="1"/>
      <c r="F10" s="57">
        <v>16450299.153933</v>
      </c>
      <c r="G10" s="77">
        <f>F10/$F$19</f>
        <v>0.98410672585915671</v>
      </c>
      <c r="I10" s="17">
        <f>SUM(I11:I14)</f>
        <v>17444703.906478114</v>
      </c>
      <c r="J10" s="43">
        <f>ROUNDUP(I10/$I$19,3)</f>
        <v>0.99399999999999999</v>
      </c>
      <c r="L10" s="7">
        <f>SUM(L11:L14)</f>
        <v>18657000</v>
      </c>
      <c r="M10" s="99">
        <v>0.995</v>
      </c>
      <c r="O10" s="8"/>
    </row>
    <row r="11" spans="2:16" ht="15.75" customHeight="1" x14ac:dyDescent="0.3">
      <c r="B11" s="1"/>
      <c r="C11" s="23" t="s">
        <v>11</v>
      </c>
      <c r="D11" s="24"/>
      <c r="E11" s="24"/>
      <c r="F11" s="58">
        <v>7597136.0669673597</v>
      </c>
      <c r="G11" s="78">
        <f t="shared" ref="G11:G14" si="0">F11/$F$19</f>
        <v>0.45448369241250397</v>
      </c>
      <c r="H11" s="24"/>
      <c r="I11" s="25">
        <v>8360020</v>
      </c>
      <c r="J11" s="44">
        <f>I11/$I$19</f>
        <v>0.47592855057273736</v>
      </c>
      <c r="K11" s="24"/>
      <c r="L11" s="26">
        <v>9266000</v>
      </c>
      <c r="M11" s="100">
        <f>ROUND(L11/$L$19,3)</f>
        <v>0.49399999999999999</v>
      </c>
      <c r="N11" s="92"/>
      <c r="O11" s="10">
        <f>L11-F11</f>
        <v>1668863.9330326403</v>
      </c>
    </row>
    <row r="12" spans="2:16" ht="15.75" customHeight="1" x14ac:dyDescent="0.3">
      <c r="B12" s="1"/>
      <c r="C12" s="27" t="s">
        <v>12</v>
      </c>
      <c r="F12" s="50">
        <v>7969850.4694939004</v>
      </c>
      <c r="G12" s="79">
        <f t="shared" si="0"/>
        <v>0.47678059698054348</v>
      </c>
      <c r="I12" s="15">
        <v>7970177</v>
      </c>
      <c r="J12" s="45">
        <f>I12/$I$19</f>
        <v>0.45373513309994096</v>
      </c>
      <c r="L12" s="9">
        <v>8282000</v>
      </c>
      <c r="M12" s="101">
        <f t="shared" ref="M12:M14" si="1">ROUND(L12/$L$19,3)</f>
        <v>0.442</v>
      </c>
      <c r="N12" s="92"/>
      <c r="O12" s="10">
        <f>L12-F12</f>
        <v>312149.53050609957</v>
      </c>
    </row>
    <row r="13" spans="2:16" ht="15.75" customHeight="1" x14ac:dyDescent="0.3">
      <c r="B13" s="1"/>
      <c r="C13" s="27" t="s">
        <v>13</v>
      </c>
      <c r="F13" s="50">
        <v>545371.53409199999</v>
      </c>
      <c r="G13" s="79">
        <f t="shared" si="0"/>
        <v>3.2625777183130825E-2</v>
      </c>
      <c r="I13" s="15">
        <v>732208</v>
      </c>
      <c r="J13" s="45">
        <f>I13/$I$19</f>
        <v>4.1683954363477944E-2</v>
      </c>
      <c r="L13" s="9">
        <v>672000</v>
      </c>
      <c r="M13" s="101">
        <f t="shared" si="1"/>
        <v>3.5999999999999997E-2</v>
      </c>
      <c r="N13" s="92"/>
      <c r="O13" s="10">
        <f>L13-F13</f>
        <v>126628.46590800001</v>
      </c>
    </row>
    <row r="14" spans="2:16" ht="15.75" customHeight="1" x14ac:dyDescent="0.3">
      <c r="B14" s="1"/>
      <c r="C14" s="28" t="s">
        <v>14</v>
      </c>
      <c r="D14" s="29"/>
      <c r="E14" s="30"/>
      <c r="F14" s="59">
        <v>337941.083379713</v>
      </c>
      <c r="G14" s="80">
        <f t="shared" si="0"/>
        <v>2.0216659282976841E-2</v>
      </c>
      <c r="H14" s="30"/>
      <c r="I14" s="31">
        <v>382298.906478116</v>
      </c>
      <c r="J14" s="46">
        <f>I14/$I$19</f>
        <v>2.1763938895561521E-2</v>
      </c>
      <c r="K14" s="30"/>
      <c r="L14" s="32">
        <v>437000</v>
      </c>
      <c r="M14" s="102">
        <f t="shared" si="1"/>
        <v>2.3E-2</v>
      </c>
      <c r="N14" s="93"/>
      <c r="O14" s="10">
        <f>L14-F14</f>
        <v>99058.916620286996</v>
      </c>
      <c r="P14" s="14"/>
    </row>
    <row r="15" spans="2:16" ht="7.5" customHeight="1" x14ac:dyDescent="0.3">
      <c r="B15" s="1"/>
      <c r="C15" s="2"/>
      <c r="E15" s="14"/>
      <c r="F15" s="50"/>
      <c r="G15" s="79"/>
      <c r="H15" s="14"/>
      <c r="I15" s="15"/>
      <c r="J15" s="45"/>
      <c r="K15" s="14"/>
      <c r="L15" s="9"/>
      <c r="M15" s="103"/>
      <c r="N15" s="14"/>
      <c r="O15" s="10"/>
      <c r="P15" s="14"/>
    </row>
    <row r="16" spans="2:16" ht="13" x14ac:dyDescent="0.3">
      <c r="B16" s="1" t="s">
        <v>15</v>
      </c>
      <c r="C16" s="1"/>
      <c r="D16" s="41"/>
      <c r="E16" s="42"/>
      <c r="F16" s="57">
        <v>212671.5042</v>
      </c>
      <c r="G16" s="77">
        <f t="shared" ref="G16:G17" si="2">F16/$F$19</f>
        <v>1.2722653595741188E-2</v>
      </c>
      <c r="H16" s="42"/>
      <c r="I16" s="17">
        <v>60300</v>
      </c>
      <c r="J16" s="43">
        <f t="shared" ref="J16:J17" si="3">I16/$I$19</f>
        <v>3.4328257108877805E-3</v>
      </c>
      <c r="K16" s="42"/>
      <c r="L16" s="7">
        <v>83000</v>
      </c>
      <c r="M16" s="99">
        <v>5.0000000000000001E-3</v>
      </c>
      <c r="N16" s="42"/>
      <c r="O16" s="8">
        <f>L16-F16</f>
        <v>-129671.5042</v>
      </c>
      <c r="P16" s="42"/>
    </row>
    <row r="17" spans="2:16" ht="12.75" customHeight="1" x14ac:dyDescent="0.3">
      <c r="B17" s="1" t="s">
        <v>16</v>
      </c>
      <c r="C17" s="1"/>
      <c r="D17" s="41"/>
      <c r="E17" s="41"/>
      <c r="F17" s="57">
        <v>53000</v>
      </c>
      <c r="G17" s="77">
        <f t="shared" si="2"/>
        <v>3.1706205451020784E-3</v>
      </c>
      <c r="H17" s="41"/>
      <c r="I17" s="17">
        <v>60700</v>
      </c>
      <c r="J17" s="43">
        <f t="shared" si="3"/>
        <v>3.4555973573944989E-3</v>
      </c>
      <c r="K17" s="41"/>
      <c r="L17" s="7">
        <v>0</v>
      </c>
      <c r="M17" s="99">
        <f>L17/$L$19</f>
        <v>0</v>
      </c>
      <c r="N17" s="41"/>
      <c r="O17" s="8">
        <f>L17-F17</f>
        <v>-53000</v>
      </c>
      <c r="P17" s="41"/>
    </row>
    <row r="18" spans="2:16" ht="7.5" customHeight="1" x14ac:dyDescent="0.25">
      <c r="B18" s="2"/>
      <c r="C18" s="2"/>
      <c r="F18" s="50"/>
      <c r="G18" s="81"/>
      <c r="I18" s="15"/>
      <c r="J18" s="45"/>
      <c r="L18" s="9"/>
      <c r="M18" s="103"/>
      <c r="O18" s="10"/>
    </row>
    <row r="19" spans="2:16" ht="13.5" thickBot="1" x14ac:dyDescent="0.35">
      <c r="B19" s="22" t="s">
        <v>17</v>
      </c>
      <c r="C19" s="22"/>
      <c r="D19" s="19"/>
      <c r="E19" s="19"/>
      <c r="F19" s="60">
        <v>16715970.658133</v>
      </c>
      <c r="G19" s="82">
        <v>1</v>
      </c>
      <c r="H19" s="19"/>
      <c r="I19" s="20">
        <f>I10+I16+I17</f>
        <v>17565703.906478114</v>
      </c>
      <c r="J19" s="48">
        <v>1</v>
      </c>
      <c r="K19" s="19"/>
      <c r="L19" s="11">
        <f>L10+L16+L17</f>
        <v>18740000</v>
      </c>
      <c r="M19" s="104">
        <f>ROUND(L19/$L$19,3)</f>
        <v>1</v>
      </c>
      <c r="O19" s="8">
        <f>L19-F19</f>
        <v>2024029.3418669999</v>
      </c>
    </row>
    <row r="20" spans="2:16" ht="7.5" customHeight="1" x14ac:dyDescent="0.25">
      <c r="B20" s="2"/>
      <c r="C20" s="2"/>
      <c r="F20" s="50"/>
      <c r="G20" s="61"/>
      <c r="I20" s="15"/>
      <c r="J20" s="75"/>
      <c r="L20" s="9"/>
      <c r="M20" s="94"/>
      <c r="O20" s="10"/>
    </row>
    <row r="21" spans="2:16" x14ac:dyDescent="0.25">
      <c r="B21" s="2"/>
      <c r="C21" s="23" t="s">
        <v>18</v>
      </c>
      <c r="D21" s="24"/>
      <c r="E21" s="24"/>
      <c r="F21" s="58">
        <v>-3416551.0440000002</v>
      </c>
      <c r="G21" s="62"/>
      <c r="H21" s="24"/>
      <c r="I21" s="25">
        <v>-3969700</v>
      </c>
      <c r="J21" s="88"/>
      <c r="K21" s="24"/>
      <c r="L21" s="26">
        <v>-2478000</v>
      </c>
      <c r="M21" s="95"/>
      <c r="N21" s="92"/>
      <c r="O21" s="10">
        <f>L21-F21</f>
        <v>938551.04400000023</v>
      </c>
    </row>
    <row r="22" spans="2:16" x14ac:dyDescent="0.25">
      <c r="B22" s="2"/>
      <c r="C22" s="27" t="s">
        <v>19</v>
      </c>
      <c r="F22" s="50">
        <v>-2749279.39962172</v>
      </c>
      <c r="G22" s="64"/>
      <c r="I22" s="15">
        <v>-2773000</v>
      </c>
      <c r="J22" s="75"/>
      <c r="L22" s="9">
        <v>-2667000</v>
      </c>
      <c r="M22" s="105"/>
      <c r="N22" s="92"/>
      <c r="O22" s="10">
        <f>L22-F22</f>
        <v>82279.39962171996</v>
      </c>
    </row>
    <row r="23" spans="2:16" x14ac:dyDescent="0.25">
      <c r="B23" s="2"/>
      <c r="C23" s="28" t="s">
        <v>20</v>
      </c>
      <c r="D23" s="29"/>
      <c r="E23" s="29"/>
      <c r="F23" s="59">
        <v>0</v>
      </c>
      <c r="G23" s="63"/>
      <c r="H23" s="29"/>
      <c r="I23" s="31">
        <v>0</v>
      </c>
      <c r="J23" s="89"/>
      <c r="K23" s="29"/>
      <c r="L23" s="32">
        <v>-2376000</v>
      </c>
      <c r="M23" s="96"/>
      <c r="N23" s="92"/>
      <c r="O23" s="10">
        <f>L23-F23</f>
        <v>-2376000</v>
      </c>
    </row>
    <row r="24" spans="2:16" ht="13" x14ac:dyDescent="0.3">
      <c r="B24" s="1" t="s">
        <v>21</v>
      </c>
      <c r="C24" s="2"/>
      <c r="F24" s="57">
        <v>-6165830.4436217202</v>
      </c>
      <c r="G24" s="64"/>
      <c r="I24" s="17">
        <f>SUM(I21:I23)</f>
        <v>-6742700</v>
      </c>
      <c r="J24" s="75"/>
      <c r="L24" s="7">
        <f>SUM(L21:L23)</f>
        <v>-7521000</v>
      </c>
      <c r="M24" s="94"/>
      <c r="O24" s="8"/>
    </row>
    <row r="25" spans="2:16" x14ac:dyDescent="0.25">
      <c r="B25" s="2"/>
      <c r="C25" s="51" t="s">
        <v>22</v>
      </c>
      <c r="D25" s="52"/>
      <c r="E25" s="52"/>
      <c r="F25" s="65">
        <v>-117737.286455514</v>
      </c>
      <c r="G25" s="66"/>
      <c r="H25" s="52"/>
      <c r="I25" s="53">
        <v>-73000</v>
      </c>
      <c r="J25" s="90"/>
      <c r="K25" s="91"/>
      <c r="L25" s="54">
        <v>-166000</v>
      </c>
      <c r="M25" s="97"/>
      <c r="N25" s="92"/>
      <c r="O25" s="10">
        <f>L25-F25</f>
        <v>-48262.713544486003</v>
      </c>
    </row>
    <row r="26" spans="2:16" ht="13" x14ac:dyDescent="0.3">
      <c r="B26" s="1" t="s">
        <v>23</v>
      </c>
      <c r="C26" s="2"/>
      <c r="F26" s="57">
        <v>-117737.286455514</v>
      </c>
      <c r="G26" s="64"/>
      <c r="I26" s="17">
        <f>SUM(I25)</f>
        <v>-73000</v>
      </c>
      <c r="J26" s="75"/>
      <c r="L26" s="7">
        <f>SUM(L25)</f>
        <v>-166000</v>
      </c>
      <c r="M26" s="94"/>
      <c r="O26" s="8"/>
    </row>
    <row r="27" spans="2:16" ht="7.15" customHeight="1" x14ac:dyDescent="0.25">
      <c r="B27" s="2"/>
      <c r="C27" s="2"/>
      <c r="F27" s="50"/>
      <c r="G27" s="64"/>
      <c r="I27" s="15"/>
      <c r="J27" s="75"/>
      <c r="L27" s="9"/>
      <c r="M27" s="94"/>
      <c r="O27" s="10"/>
    </row>
    <row r="28" spans="2:16" ht="13.5" thickBot="1" x14ac:dyDescent="0.35">
      <c r="B28" s="22" t="s">
        <v>24</v>
      </c>
      <c r="C28" s="21"/>
      <c r="D28" s="19"/>
      <c r="E28" s="19"/>
      <c r="F28" s="60">
        <v>-6283567.7300772304</v>
      </c>
      <c r="G28" s="67"/>
      <c r="H28" s="19"/>
      <c r="I28" s="20">
        <f>I24+I26</f>
        <v>-6815700</v>
      </c>
      <c r="J28" s="76"/>
      <c r="K28" s="19"/>
      <c r="L28" s="11">
        <f>L24+L26</f>
        <v>-7687000</v>
      </c>
      <c r="M28" s="98"/>
      <c r="O28" s="8">
        <f>L28-F28</f>
        <v>-1403432.2699227696</v>
      </c>
    </row>
    <row r="29" spans="2:16" ht="7.5" customHeight="1" x14ac:dyDescent="0.3">
      <c r="B29" s="1"/>
      <c r="C29" s="2"/>
      <c r="F29" s="68"/>
      <c r="G29" s="61"/>
      <c r="I29" s="18"/>
      <c r="J29" s="75"/>
      <c r="L29" s="3"/>
      <c r="M29" s="94"/>
      <c r="O29" s="4"/>
    </row>
    <row r="30" spans="2:16" ht="13" x14ac:dyDescent="0.3">
      <c r="B30" s="1" t="s">
        <v>25</v>
      </c>
      <c r="F30" s="57">
        <v>10432402.9280557</v>
      </c>
      <c r="G30" s="64"/>
      <c r="I30" s="17">
        <f>I19+I28</f>
        <v>10750003.906478114</v>
      </c>
      <c r="J30" s="75"/>
      <c r="L30" s="7">
        <f>L19+L28</f>
        <v>11053000</v>
      </c>
      <c r="M30" s="94"/>
      <c r="O30" s="8">
        <f>L30-F30</f>
        <v>620597.07194430009</v>
      </c>
    </row>
    <row r="31" spans="2:16" ht="7.5" customHeight="1" x14ac:dyDescent="0.25">
      <c r="B31" s="2"/>
      <c r="C31" s="2"/>
      <c r="F31" s="50"/>
      <c r="G31" s="64"/>
      <c r="I31" s="15"/>
      <c r="J31" s="75"/>
      <c r="L31" s="9"/>
      <c r="M31" s="94"/>
      <c r="O31" s="10"/>
    </row>
    <row r="32" spans="2:16" ht="15" x14ac:dyDescent="0.3">
      <c r="B32" s="1" t="s">
        <v>26</v>
      </c>
      <c r="C32" s="1"/>
      <c r="F32" s="69">
        <v>1319992.8043702301</v>
      </c>
      <c r="G32" s="64"/>
      <c r="I32" s="16">
        <v>1319992.8043702301</v>
      </c>
      <c r="J32" s="75"/>
      <c r="L32" s="13">
        <v>1320300</v>
      </c>
      <c r="M32" s="94"/>
      <c r="O32" s="87">
        <f>L32-F32</f>
        <v>307.1956297699362</v>
      </c>
    </row>
    <row r="33" spans="2:16" ht="7.5" customHeight="1" x14ac:dyDescent="0.25">
      <c r="B33" s="2"/>
      <c r="C33" s="2"/>
      <c r="F33" s="50"/>
      <c r="G33" s="64"/>
      <c r="I33" s="15"/>
      <c r="J33" s="75"/>
      <c r="L33" s="9"/>
      <c r="M33" s="94"/>
      <c r="O33" s="10"/>
    </row>
    <row r="34" spans="2:16" ht="13" x14ac:dyDescent="0.3">
      <c r="B34" s="1" t="s">
        <v>27</v>
      </c>
      <c r="C34" s="2"/>
      <c r="F34" s="70">
        <v>7.9</v>
      </c>
      <c r="G34" s="71"/>
      <c r="I34" s="73">
        <f>ROUND(I30/I32,2)</f>
        <v>8.14</v>
      </c>
      <c r="J34" s="74"/>
      <c r="L34" s="72">
        <f>ROUND(L30/L32,2)</f>
        <v>8.3699999999999992</v>
      </c>
      <c r="M34" s="83"/>
      <c r="O34" s="84">
        <f>L34-F34</f>
        <v>0.46999999999999886</v>
      </c>
    </row>
    <row r="35" spans="2:16" ht="6.75" customHeight="1" x14ac:dyDescent="0.25"/>
    <row r="36" spans="2:16" ht="48.75" customHeight="1" x14ac:dyDescent="0.25">
      <c r="B36" s="171" t="s">
        <v>28</v>
      </c>
      <c r="C36" s="171"/>
      <c r="D36" s="171"/>
      <c r="E36" s="171"/>
      <c r="F36" s="171"/>
      <c r="G36" s="171"/>
      <c r="H36" s="171"/>
      <c r="I36" s="171"/>
      <c r="J36" s="171"/>
      <c r="K36" s="171"/>
      <c r="L36" s="171"/>
      <c r="M36" s="171"/>
      <c r="N36" s="171"/>
      <c r="O36" s="171"/>
      <c r="P36" s="56"/>
    </row>
  </sheetData>
  <mergeCells count="7">
    <mergeCell ref="B36:O36"/>
    <mergeCell ref="F7:G7"/>
    <mergeCell ref="I7:J7"/>
    <mergeCell ref="L7:M7"/>
    <mergeCell ref="F8:G8"/>
    <mergeCell ref="I8:J8"/>
    <mergeCell ref="L8:M8"/>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9ABA86FA3D8644849CF7CAEC8195B6" ma:contentTypeVersion="17" ma:contentTypeDescription="Create a new document." ma:contentTypeScope="" ma:versionID="44274367e92d814af0ab249abf945d6e">
  <xsd:schema xmlns:xsd="http://www.w3.org/2001/XMLSchema" xmlns:xs="http://www.w3.org/2001/XMLSchema" xmlns:p="http://schemas.microsoft.com/office/2006/metadata/properties" xmlns:ns2="f6a36af5-dff5-447d-9323-eee6ba5b23f1" xmlns:ns3="68cc12e8-5bfe-4c41-a5f8-8ffcd1667c64" xmlns:ns4="9b2d331e-7bd3-4a27-a226-1318540b90c9" targetNamespace="http://schemas.microsoft.com/office/2006/metadata/properties" ma:root="true" ma:fieldsID="8b9c53226b6821a978db633252c10823" ns2:_="" ns3:_="" ns4:_="">
    <xsd:import namespace="f6a36af5-dff5-447d-9323-eee6ba5b23f1"/>
    <xsd:import namespace="68cc12e8-5bfe-4c41-a5f8-8ffcd1667c64"/>
    <xsd:import namespace="9b2d331e-7bd3-4a27-a226-1318540b90c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36af5-dff5-447d-9323-eee6ba5b23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cc12e8-5bfe-4c41-a5f8-8ffcd1667c64"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33e6795-de2a-4d80-a779-60ec43a270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2d331e-7bd3-4a27-a226-1318540b90c9"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3ac6708e-2358-4559-bc6a-3213426010d9}" ma:internalName="TaxCatchAll" ma:showField="CatchAllData" ma:web="9b2d331e-7bd3-4a27-a226-1318540b90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2d331e-7bd3-4a27-a226-1318540b90c9" xsi:nil="true"/>
    <lcf76f155ced4ddcb4097134ff3c332f xmlns="68cc12e8-5bfe-4c41-a5f8-8ffcd1667c6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6ED04F-3004-4380-8F5B-522CFD0F19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36af5-dff5-447d-9323-eee6ba5b23f1"/>
    <ds:schemaRef ds:uri="68cc12e8-5bfe-4c41-a5f8-8ffcd1667c64"/>
    <ds:schemaRef ds:uri="9b2d331e-7bd3-4a27-a226-1318540b90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52BAE7-31FF-4258-8F2B-9156121C5F02}">
  <ds:schemaRefs>
    <ds:schemaRef ds:uri="http://schemas.microsoft.com/sharepoint/v3/contenttype/forms"/>
  </ds:schemaRefs>
</ds:datastoreItem>
</file>

<file path=customXml/itemProps3.xml><?xml version="1.0" encoding="utf-8"?>
<ds:datastoreItem xmlns:ds="http://schemas.openxmlformats.org/officeDocument/2006/customXml" ds:itemID="{3866794A-4627-40BD-8505-90CE371F80D5}">
  <ds:schemaRefs>
    <ds:schemaRef ds:uri="http://schemas.microsoft.com/office/2006/metadata/properties"/>
    <ds:schemaRef ds:uri="http://schemas.microsoft.com/office/infopath/2007/PartnerControls"/>
    <ds:schemaRef ds:uri="9b2d331e-7bd3-4a27-a226-1318540b90c9"/>
    <ds:schemaRef ds:uri="68cc12e8-5bfe-4c41-a5f8-8ffcd1667c6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NAV per share FY26</vt:lpstr>
      <vt:lpstr>NAV per share FY25</vt:lpstr>
      <vt:lpstr>NAV per share FY24</vt:lpstr>
      <vt:lpstr>NAV per share FY23</vt:lpstr>
      <vt:lpstr>NAV per share FY22</vt:lpstr>
      <vt:lpstr>'NAV per share FY22'!Print_Area</vt:lpstr>
      <vt:lpstr>'NAV per share FY23'!Print_Area</vt:lpstr>
      <vt:lpstr>'NAV per share FY24'!Print_Area</vt:lpstr>
      <vt:lpstr>'NAV per share FY25'!Print_Area</vt:lpstr>
      <vt:lpstr>'NAV per share FY26'!Print_Area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Parsons</dc:creator>
  <cp:keywords/>
  <dc:description/>
  <cp:lastModifiedBy>Mark Beekhuizen</cp:lastModifiedBy>
  <cp:revision/>
  <dcterms:created xsi:type="dcterms:W3CDTF">2014-01-22T06:28:18Z</dcterms:created>
  <dcterms:modified xsi:type="dcterms:W3CDTF">2026-06-18T18:15:20Z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47122f71-9b8a-45c3-982b-8733234655ec</vt:lpwstr>
  </property>
  <property fmtid="{D5CDD505-2E9C-101B-9397-08002B2CF9AE}" pid="3" name="ContentTypeId">
    <vt:lpwstr>0x010100659ABA86FA3D8644849CF7CAEC8195B6</vt:lpwstr>
  </property>
  <property fmtid="{D5CDD505-2E9C-101B-9397-08002B2CF9AE}" pid="4" name="Order">
    <vt:r8>137700</vt:r8>
  </property>
  <property fmtid="{D5CDD505-2E9C-101B-9397-08002B2CF9AE}" pid="5" name="MediaServiceImageTags">
    <vt:lpwstr/>
  </property>
  <property fmtid="{D5CDD505-2E9C-101B-9397-08002B2CF9AE}" pid="6" name="{A44787D4-0540-4523-9961-78E4036D8C6D}">
    <vt:lpwstr>{5481EFE1-4CE6-450B-9B71-8F64D6AE4635}</vt:lpwstr>
  </property>
</Properties>
</file>